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Product_MGMT\Product\Product Specification\VibroSight\Presentations\Rulebox\Rules\"/>
    </mc:Choice>
  </mc:AlternateContent>
  <bookViews>
    <workbookView xWindow="0" yWindow="0" windowWidth="29010" windowHeight="13560" activeTab="2"/>
  </bookViews>
  <sheets>
    <sheet name="Imbalance" sheetId="1" r:id="rId1"/>
    <sheet name="Misalignment" sheetId="2" r:id="rId2"/>
    <sheet name="Rub" sheetId="8" r:id="rId3"/>
    <sheet name="Looseness" sheetId="4" r:id="rId4"/>
    <sheet name="Oil whirl" sheetId="5" r:id="rId5"/>
    <sheet name="Steam instability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8" l="1"/>
  <c r="G6" i="8"/>
  <c r="L12" i="8"/>
  <c r="L11" i="8"/>
  <c r="L10" i="8"/>
  <c r="I6" i="8" l="1"/>
  <c r="L6" i="8"/>
  <c r="L5" i="8"/>
  <c r="L4" i="8"/>
  <c r="L3" i="8"/>
  <c r="L8" i="8" s="1"/>
  <c r="G4" i="8"/>
  <c r="I4" i="8" s="1"/>
  <c r="L9" i="8" l="1"/>
  <c r="G5" i="8" s="1"/>
  <c r="G7" i="8" s="1"/>
  <c r="L7" i="8"/>
  <c r="H6" i="8"/>
  <c r="H4" i="8"/>
  <c r="G7" i="6"/>
  <c r="I7" i="6" s="1"/>
  <c r="G6" i="6"/>
  <c r="I6" i="6" s="1"/>
  <c r="L4" i="6"/>
  <c r="H4" i="6"/>
  <c r="G4" i="6"/>
  <c r="I4" i="6" s="1"/>
  <c r="L3" i="6"/>
  <c r="L7" i="6" s="1"/>
  <c r="G7" i="5"/>
  <c r="G8" i="5" s="1"/>
  <c r="G6" i="5"/>
  <c r="I6" i="5"/>
  <c r="H6" i="5"/>
  <c r="L4" i="5"/>
  <c r="L3" i="5"/>
  <c r="G4" i="5"/>
  <c r="I4" i="5" s="1"/>
  <c r="H5" i="8" l="1"/>
  <c r="H7" i="8" s="1"/>
  <c r="I5" i="8"/>
  <c r="I7" i="8" s="1"/>
  <c r="I7" i="5"/>
  <c r="I8" i="5" s="1"/>
  <c r="H7" i="5"/>
  <c r="H8" i="5" s="1"/>
  <c r="H7" i="6"/>
  <c r="L5" i="6"/>
  <c r="H6" i="6"/>
  <c r="L6" i="6"/>
  <c r="G5" i="6" s="1"/>
  <c r="G8" i="6" s="1"/>
  <c r="L7" i="5"/>
  <c r="L6" i="5"/>
  <c r="L5" i="5"/>
  <c r="H4" i="5"/>
  <c r="L6" i="4"/>
  <c r="L4" i="4"/>
  <c r="L3" i="4"/>
  <c r="L5" i="4" s="1"/>
  <c r="I4" i="1"/>
  <c r="H4" i="1"/>
  <c r="I4" i="4"/>
  <c r="H4" i="4"/>
  <c r="G4" i="4"/>
  <c r="G7" i="2"/>
  <c r="I7" i="2" s="1"/>
  <c r="I4" i="2"/>
  <c r="H4" i="2"/>
  <c r="G6" i="2"/>
  <c r="H6" i="2"/>
  <c r="I6" i="2"/>
  <c r="L8" i="2"/>
  <c r="L7" i="2"/>
  <c r="L6" i="2"/>
  <c r="L5" i="2"/>
  <c r="L4" i="2"/>
  <c r="L3" i="2"/>
  <c r="G4" i="2"/>
  <c r="G4" i="1"/>
  <c r="I6" i="1"/>
  <c r="H6" i="1"/>
  <c r="G6" i="1"/>
  <c r="L5" i="1"/>
  <c r="L4" i="1"/>
  <c r="L3" i="1"/>
  <c r="I5" i="1" s="1"/>
  <c r="F10" i="8" l="1"/>
  <c r="I5" i="6"/>
  <c r="I8" i="6" s="1"/>
  <c r="H5" i="6"/>
  <c r="H8" i="6" s="1"/>
  <c r="G5" i="5"/>
  <c r="H5" i="5"/>
  <c r="I5" i="5"/>
  <c r="L8" i="4"/>
  <c r="L7" i="4"/>
  <c r="H5" i="4" s="1"/>
  <c r="H6" i="4" s="1"/>
  <c r="L9" i="4"/>
  <c r="G5" i="4"/>
  <c r="G6" i="4" s="1"/>
  <c r="H7" i="2"/>
  <c r="H5" i="2"/>
  <c r="H8" i="2" s="1"/>
  <c r="G5" i="2"/>
  <c r="G8" i="2" s="1"/>
  <c r="I5" i="2"/>
  <c r="I8" i="2" s="1"/>
  <c r="G5" i="1"/>
  <c r="I7" i="1"/>
  <c r="H5" i="1"/>
  <c r="F11" i="6" l="1"/>
  <c r="F11" i="5"/>
  <c r="I5" i="4"/>
  <c r="I6" i="4" s="1"/>
  <c r="F11" i="2"/>
  <c r="H7" i="1"/>
  <c r="G7" i="1"/>
  <c r="F10" i="1" l="1"/>
  <c r="F9" i="4"/>
</calcChain>
</file>

<file path=xl/sharedStrings.xml><?xml version="1.0" encoding="utf-8"?>
<sst xmlns="http://schemas.openxmlformats.org/spreadsheetml/2006/main" count="361" uniqueCount="139">
  <si>
    <t>X1 &gt; 1X</t>
  </si>
  <si>
    <t>X1 &gt; OVR</t>
  </si>
  <si>
    <t>X1 &gt; OVR quality is good</t>
  </si>
  <si>
    <t>X1 &gt; OVR severity</t>
  </si>
  <si>
    <t>Test values</t>
  </si>
  <si>
    <t>µm pp</t>
  </si>
  <si>
    <t>Danger</t>
  </si>
  <si>
    <t>Alert</t>
  </si>
  <si>
    <t>Information</t>
  </si>
  <si>
    <t>Normal</t>
  </si>
  <si>
    <t>Y1 &gt; 1X</t>
  </si>
  <si>
    <t>Y1 &gt; OVR</t>
  </si>
  <si>
    <t>Y1 &gt; OVR quality is good</t>
  </si>
  <si>
    <t>Y1 &gt; OVR severity</t>
  </si>
  <si>
    <t>X2 &gt; 1X</t>
  </si>
  <si>
    <t>X2 &gt; OVR</t>
  </si>
  <si>
    <t>X2 &gt; OVR quality is good</t>
  </si>
  <si>
    <t>X2 &gt; OVR severity</t>
  </si>
  <si>
    <t>Y2 &gt; 1X</t>
  </si>
  <si>
    <t>Y2 &gt; OVR</t>
  </si>
  <si>
    <t>Y2 &gt; OVR quality is good</t>
  </si>
  <si>
    <t>Y2 &gt; OVR severity</t>
  </si>
  <si>
    <t>Machine state is on load</t>
  </si>
  <si>
    <t>Is the overall vibration abnormally high?</t>
  </si>
  <si>
    <t>Is the 1X vibration the dominant component?</t>
  </si>
  <si>
    <t>1X dominance limit</t>
  </si>
  <si>
    <t>Values</t>
  </si>
  <si>
    <t>Rule parameters</t>
  </si>
  <si>
    <t>all danger</t>
  </si>
  <si>
    <t>all alert or danger</t>
  </si>
  <si>
    <t>all info or alert or danger</t>
  </si>
  <si>
    <t>Condition severity</t>
  </si>
  <si>
    <t>Intermediate variables</t>
  </si>
  <si>
    <t>Is the machine on load and the quality of all measurements good?</t>
  </si>
  <si>
    <t>Are the symptoms for imbalance present?</t>
  </si>
  <si>
    <t>Rule result</t>
  </si>
  <si>
    <t>Severity</t>
  </si>
  <si>
    <t>Boolean</t>
  </si>
  <si>
    <t>Messages</t>
  </si>
  <si>
    <t>No imbalance symthoms</t>
  </si>
  <si>
    <t>Minor imbalance</t>
  </si>
  <si>
    <t>Severe imbalance</t>
  </si>
  <si>
    <t>Rule inputs</t>
  </si>
  <si>
    <t>Rule condition logic</t>
  </si>
  <si>
    <t>Moderate imbalance</t>
  </si>
  <si>
    <t>Minor misalignment</t>
  </si>
  <si>
    <t>Moderate misalignment</t>
  </si>
  <si>
    <t>Severe misalignment</t>
  </si>
  <si>
    <t>No misalignment symthoms</t>
  </si>
  <si>
    <t>X1 &gt; 2X</t>
  </si>
  <si>
    <t>X1 &gt; 2X severity</t>
  </si>
  <si>
    <t>X1 &gt; 3X severity</t>
  </si>
  <si>
    <t>X1 &gt; 3X</t>
  </si>
  <si>
    <t>Y1 &gt; 2X</t>
  </si>
  <si>
    <t>Y1 &gt; 2X severity</t>
  </si>
  <si>
    <t>Y1 &gt; 3X</t>
  </si>
  <si>
    <t>Y1 &gt; 3X severity</t>
  </si>
  <si>
    <t>X2 &gt; 2X</t>
  </si>
  <si>
    <t>X2 &gt; 2X severity</t>
  </si>
  <si>
    <t>X2 &gt; 3X</t>
  </si>
  <si>
    <t>X2 &gt; 3X severity</t>
  </si>
  <si>
    <t>Y2 &gt; 2X</t>
  </si>
  <si>
    <t>Y2 &gt; 2X severity</t>
  </si>
  <si>
    <t>Y2 &gt; 3X</t>
  </si>
  <si>
    <t>Y2 &gt; 3X severity</t>
  </si>
  <si>
    <t>2X all danger</t>
  </si>
  <si>
    <t>2X all alert or danger</t>
  </si>
  <si>
    <t>2X all info or alert or danger</t>
  </si>
  <si>
    <t>3X all danger</t>
  </si>
  <si>
    <t>3X all alert or danger</t>
  </si>
  <si>
    <t>3X all info or alert or danger</t>
  </si>
  <si>
    <t>Is the 2X vibration abnormally high?</t>
  </si>
  <si>
    <t>Is the 3X vibration abnormally high?</t>
  </si>
  <si>
    <t>Is the 2X and 3X vibration dominant compared to 1X?</t>
  </si>
  <si>
    <t>Are the symptoms for misalignment present?</t>
  </si>
  <si>
    <t>2X+3X dominance limit</t>
  </si>
  <si>
    <t>V1X &gt; OVR quality is good</t>
  </si>
  <si>
    <t>V1X &gt; OVR</t>
  </si>
  <si>
    <t>V1Y &gt; OVR quality is good</t>
  </si>
  <si>
    <t>V1Y &gt; OVR</t>
  </si>
  <si>
    <t>Is the bearing absolute vibration higher than the shaft relative vibration?</t>
  </si>
  <si>
    <t>Dominance danger limit</t>
  </si>
  <si>
    <t>Dominance alert limit</t>
  </si>
  <si>
    <t>Dominance information limit</t>
  </si>
  <si>
    <t>X severity</t>
  </si>
  <si>
    <t>Y severity</t>
  </si>
  <si>
    <t>X ratio</t>
  </si>
  <si>
    <t>Y ratio</t>
  </si>
  <si>
    <t>Are the symptoms for looseness present?</t>
  </si>
  <si>
    <t>No looseness symthoms</t>
  </si>
  <si>
    <t>Minor looseness</t>
  </si>
  <si>
    <t>Moderate looseness</t>
  </si>
  <si>
    <t>Severe looseness</t>
  </si>
  <si>
    <t>X1 &gt; Subharmonics</t>
  </si>
  <si>
    <t>X1 &gt; 0.5X</t>
  </si>
  <si>
    <t>Y1 &gt; Subharmonics</t>
  </si>
  <si>
    <t>Y1 &gt; 0.5X</t>
  </si>
  <si>
    <t>Minor oil whirl</t>
  </si>
  <si>
    <t>Moderate oil whirl</t>
  </si>
  <si>
    <t>Severe oil whirl</t>
  </si>
  <si>
    <t>No oil whirl symthoms</t>
  </si>
  <si>
    <t>Is the subharmonic vibration high?</t>
  </si>
  <si>
    <t>Are the symptoms for oil whirl present?</t>
  </si>
  <si>
    <t>Is the subharmonic vibration high compared to the overall?</t>
  </si>
  <si>
    <t>Is the 0.5X vibration high compared to the subharmonics?</t>
  </si>
  <si>
    <t>Subharmonics danger limit</t>
  </si>
  <si>
    <t>Subharmonics alert limit</t>
  </si>
  <si>
    <t>Subharmonics information limit</t>
  </si>
  <si>
    <t>Subharmonics dominance limit</t>
  </si>
  <si>
    <t>0.5X dominance limit</t>
  </si>
  <si>
    <t>Is the 0.5X vibration low compared to the subharmonics?</t>
  </si>
  <si>
    <t>Are the symptoms for steam instability present?</t>
  </si>
  <si>
    <t>Minor steam instability</t>
  </si>
  <si>
    <t>Moderate steam instability</t>
  </si>
  <si>
    <t>Severe steam instability</t>
  </si>
  <si>
    <t>No steam instability</t>
  </si>
  <si>
    <t>X1 &gt; High</t>
  </si>
  <si>
    <t>Y1 &gt; High</t>
  </si>
  <si>
    <t>X2 &gt; High</t>
  </si>
  <si>
    <t>Y2 &gt; High</t>
  </si>
  <si>
    <t>Are the symptoms for rub present?</t>
  </si>
  <si>
    <t>Minor rub</t>
  </si>
  <si>
    <t>Moderate rub</t>
  </si>
  <si>
    <t>Severe rub</t>
  </si>
  <si>
    <t>No rub</t>
  </si>
  <si>
    <t>Is the high frequency vibration high?</t>
  </si>
  <si>
    <t>Is the high frequency vibration high compared to the overall?</t>
  </si>
  <si>
    <t>X1 severity</t>
  </si>
  <si>
    <t>Y1 severity</t>
  </si>
  <si>
    <t>X2 severity</t>
  </si>
  <si>
    <t>Y2 severity</t>
  </si>
  <si>
    <t>High vibration danger limit</t>
  </si>
  <si>
    <t>High vibration alert limit</t>
  </si>
  <si>
    <t>High vibration information limit</t>
  </si>
  <si>
    <t>High vibration dominance limit</t>
  </si>
  <si>
    <t>X1 high vib dominance</t>
  </si>
  <si>
    <t>Y1 high vib dominance</t>
  </si>
  <si>
    <t>X2 high vib dominance</t>
  </si>
  <si>
    <t>Y2 high vib dominance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</si>
</sst>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6" xfId="0" applyFont="1" applyBorder="1"/>
    <xf numFmtId="0" fontId="0" fillId="0" borderId="8" xfId="0" applyBorder="1"/>
    <xf numFmtId="0" fontId="0" fillId="0" borderId="9" xfId="0" applyFont="1" applyBorder="1"/>
    <xf numFmtId="0" fontId="0" fillId="0" borderId="10" xfId="0" applyBorder="1"/>
    <xf numFmtId="0" fontId="0" fillId="0" borderId="11" xfId="0" applyBorder="1"/>
    <xf numFmtId="0" fontId="3" fillId="0" borderId="12" xfId="0" applyFont="1" applyBorder="1"/>
    <xf numFmtId="0" fontId="0" fillId="0" borderId="13" xfId="0" applyBorder="1"/>
    <xf numFmtId="0" fontId="3" fillId="0" borderId="14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2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9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21" xfId="0" applyFont="1" applyBorder="1"/>
    <xf numFmtId="0" fontId="0" fillId="0" borderId="24" xfId="0" applyBorder="1" applyAlignment="1">
      <alignment horizontal="center"/>
    </xf>
    <xf numFmtId="0" fontId="0" fillId="0" borderId="26" xfId="0" applyBorder="1"/>
    <xf numFmtId="9" fontId="0" fillId="0" borderId="22" xfId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0" fillId="0" borderId="6" xfId="0" applyBorder="1"/>
    <xf numFmtId="0" fontId="2" fillId="0" borderId="8" xfId="0" applyFont="1" applyBorder="1"/>
    <xf numFmtId="0" fontId="2" fillId="0" borderId="13" xfId="0" applyFont="1" applyBorder="1"/>
    <xf numFmtId="0" fontId="2" fillId="0" borderId="14" xfId="0" applyFont="1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0" fontId="0" fillId="0" borderId="17" xfId="0" applyFill="1" applyBorder="1"/>
    <xf numFmtId="0" fontId="0" fillId="0" borderId="1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2" fillId="0" borderId="0" xfId="0" applyFont="1" applyAlignment="1">
      <alignment horizontal="left"/>
    </xf>
    <xf numFmtId="0" fontId="2" fillId="0" borderId="29" xfId="0" applyFont="1" applyBorder="1"/>
    <xf numFmtId="0" fontId="0" fillId="0" borderId="20" xfId="0" applyFont="1" applyBorder="1"/>
    <xf numFmtId="0" fontId="0" fillId="0" borderId="26" xfId="0" applyFont="1" applyBorder="1"/>
    <xf numFmtId="0" fontId="2" fillId="0" borderId="28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3" fillId="0" borderId="0" xfId="0" applyFont="1" applyBorder="1"/>
    <xf numFmtId="0" fontId="0" fillId="0" borderId="11" xfId="0" applyFont="1" applyBorder="1"/>
    <xf numFmtId="0" fontId="0" fillId="0" borderId="13" xfId="0" applyFill="1" applyBorder="1"/>
    <xf numFmtId="0" fontId="3" fillId="0" borderId="18" xfId="0" applyFont="1" applyBorder="1"/>
    <xf numFmtId="9" fontId="0" fillId="0" borderId="23" xfId="1" applyFont="1" applyBorder="1" applyAlignment="1">
      <alignment horizontal="center"/>
    </xf>
    <xf numFmtId="9" fontId="0" fillId="0" borderId="24" xfId="1" applyFont="1" applyBorder="1" applyAlignment="1">
      <alignment horizontal="center"/>
    </xf>
    <xf numFmtId="9" fontId="0" fillId="0" borderId="25" xfId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5" xfId="0" applyBorder="1" applyAlignment="1">
      <alignment horizontal="center"/>
    </xf>
    <xf numFmtId="0" fontId="3" fillId="0" borderId="8" xfId="0" applyFont="1" applyBorder="1"/>
    <xf numFmtId="9" fontId="0" fillId="0" borderId="3" xfId="1" applyFont="1" applyBorder="1" applyAlignment="1">
      <alignment horizontal="center"/>
    </xf>
    <xf numFmtId="9" fontId="0" fillId="0" borderId="19" xfId="1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0" fillId="0" borderId="23" xfId="0" applyBorder="1" applyAlignment="1">
      <alignment horizontal="center"/>
    </xf>
    <xf numFmtId="9" fontId="0" fillId="0" borderId="14" xfId="1" applyFont="1" applyBorder="1" applyAlignment="1">
      <alignment horizontal="center"/>
    </xf>
    <xf numFmtId="9" fontId="0" fillId="0" borderId="18" xfId="1" applyFont="1" applyBorder="1" applyAlignment="1">
      <alignment horizontal="center"/>
    </xf>
    <xf numFmtId="0" fontId="0" fillId="0" borderId="11" xfId="0" applyFill="1" applyBorder="1"/>
    <xf numFmtId="9" fontId="0" fillId="0" borderId="12" xfId="1" applyFont="1" applyBorder="1" applyAlignment="1">
      <alignment horizontal="center"/>
    </xf>
    <xf numFmtId="0" fontId="2" fillId="0" borderId="0" xfId="0" applyFont="1"/>
  </cellXfs>
  <cellStyles count="2">
    <cellStyle name="Normal" xfId="0" builtinId="0"/>
    <cellStyle name="Percent" xfId="1" builtinId="5"/>
  </cellStyles>
  <dxfs count="46">
    <dxf>
      <fill>
        <patternFill patternType="solid">
          <bgColor rgb="FFC6EF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6EFCE"/>
        </patternFill>
      </fill>
    </dxf>
  </dxfs>
  <tableStyles count="0" defaultTableStyle="TableStyleMedium2" defaultPivotStyle="PivotStyleLight16"/>
  <colors>
    <mruColors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12</xdr:row>
      <xdr:rowOff>0</xdr:rowOff>
    </xdr:from>
    <xdr:to>
      <xdr:col>5</xdr:col>
      <xdr:colOff>2425701</xdr:colOff>
      <xdr:row>22</xdr:row>
      <xdr:rowOff>129414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587" r="17921"/>
        <a:stretch/>
      </xdr:blipFill>
      <xdr:spPr>
        <a:xfrm>
          <a:off x="4613413" y="2327413"/>
          <a:ext cx="2425701" cy="2059262"/>
        </a:xfrm>
        <a:prstGeom prst="rect">
          <a:avLst/>
        </a:prstGeom>
      </xdr:spPr>
    </xdr:pic>
    <xdr:clientData/>
  </xdr:twoCellAnchor>
  <xdr:twoCellAnchor>
    <xdr:from>
      <xdr:col>5</xdr:col>
      <xdr:colOff>121252</xdr:colOff>
      <xdr:row>12</xdr:row>
      <xdr:rowOff>127381</xdr:rowOff>
    </xdr:from>
    <xdr:to>
      <xdr:col>5</xdr:col>
      <xdr:colOff>496955</xdr:colOff>
      <xdr:row>14</xdr:row>
      <xdr:rowOff>26586</xdr:rowOff>
    </xdr:to>
    <xdr:sp macro="" textlink="">
      <xdr:nvSpPr>
        <xdr:cNvPr id="3" name="TextBox 7"/>
        <xdr:cNvSpPr txBox="1"/>
      </xdr:nvSpPr>
      <xdr:spPr>
        <a:xfrm>
          <a:off x="4734665" y="2454794"/>
          <a:ext cx="3757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X1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506916</xdr:colOff>
      <xdr:row>12</xdr:row>
      <xdr:rowOff>127381</xdr:rowOff>
    </xdr:from>
    <xdr:to>
      <xdr:col>5</xdr:col>
      <xdr:colOff>844824</xdr:colOff>
      <xdr:row>14</xdr:row>
      <xdr:rowOff>26586</xdr:rowOff>
    </xdr:to>
    <xdr:sp macro="" textlink="">
      <xdr:nvSpPr>
        <xdr:cNvPr id="4" name="TextBox 37"/>
        <xdr:cNvSpPr txBox="1"/>
      </xdr:nvSpPr>
      <xdr:spPr>
        <a:xfrm>
          <a:off x="5120329" y="2454794"/>
          <a:ext cx="337908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Y1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1629135</xdr:colOff>
      <xdr:row>12</xdr:row>
      <xdr:rowOff>127381</xdr:rowOff>
    </xdr:from>
    <xdr:to>
      <xdr:col>5</xdr:col>
      <xdr:colOff>1996108</xdr:colOff>
      <xdr:row>14</xdr:row>
      <xdr:rowOff>26586</xdr:rowOff>
    </xdr:to>
    <xdr:sp macro="" textlink="">
      <xdr:nvSpPr>
        <xdr:cNvPr id="5" name="TextBox 38"/>
        <xdr:cNvSpPr txBox="1"/>
      </xdr:nvSpPr>
      <xdr:spPr>
        <a:xfrm>
          <a:off x="6242548" y="2454794"/>
          <a:ext cx="36697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X2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1998232</xdr:colOff>
      <xdr:row>12</xdr:row>
      <xdr:rowOff>127381</xdr:rowOff>
    </xdr:from>
    <xdr:to>
      <xdr:col>5</xdr:col>
      <xdr:colOff>2352257</xdr:colOff>
      <xdr:row>14</xdr:row>
      <xdr:rowOff>26586</xdr:rowOff>
    </xdr:to>
    <xdr:sp macro="" textlink="">
      <xdr:nvSpPr>
        <xdr:cNvPr id="6" name="TextBox 39"/>
        <xdr:cNvSpPr txBox="1"/>
      </xdr:nvSpPr>
      <xdr:spPr>
        <a:xfrm>
          <a:off x="6611645" y="2454794"/>
          <a:ext cx="354025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Y2</a:t>
          </a:r>
          <a:endParaRPr lang="fr-CH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13</xdr:row>
      <xdr:rowOff>0</xdr:rowOff>
    </xdr:from>
    <xdr:to>
      <xdr:col>5</xdr:col>
      <xdr:colOff>2425701</xdr:colOff>
      <xdr:row>23</xdr:row>
      <xdr:rowOff>154262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587" r="17921"/>
        <a:stretch/>
      </xdr:blipFill>
      <xdr:spPr>
        <a:xfrm>
          <a:off x="4613413" y="2509630"/>
          <a:ext cx="2425701" cy="2059262"/>
        </a:xfrm>
        <a:prstGeom prst="rect">
          <a:avLst/>
        </a:prstGeom>
      </xdr:spPr>
    </xdr:pic>
    <xdr:clientData/>
  </xdr:twoCellAnchor>
  <xdr:twoCellAnchor>
    <xdr:from>
      <xdr:col>5</xdr:col>
      <xdr:colOff>121252</xdr:colOff>
      <xdr:row>13</xdr:row>
      <xdr:rowOff>127381</xdr:rowOff>
    </xdr:from>
    <xdr:to>
      <xdr:col>5</xdr:col>
      <xdr:colOff>496955</xdr:colOff>
      <xdr:row>15</xdr:row>
      <xdr:rowOff>26586</xdr:rowOff>
    </xdr:to>
    <xdr:sp macro="" textlink="">
      <xdr:nvSpPr>
        <xdr:cNvPr id="3" name="TextBox 7"/>
        <xdr:cNvSpPr txBox="1"/>
      </xdr:nvSpPr>
      <xdr:spPr>
        <a:xfrm>
          <a:off x="4734665" y="2637011"/>
          <a:ext cx="3757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X1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506916</xdr:colOff>
      <xdr:row>13</xdr:row>
      <xdr:rowOff>127381</xdr:rowOff>
    </xdr:from>
    <xdr:to>
      <xdr:col>5</xdr:col>
      <xdr:colOff>844824</xdr:colOff>
      <xdr:row>15</xdr:row>
      <xdr:rowOff>26586</xdr:rowOff>
    </xdr:to>
    <xdr:sp macro="" textlink="">
      <xdr:nvSpPr>
        <xdr:cNvPr id="4" name="TextBox 37"/>
        <xdr:cNvSpPr txBox="1"/>
      </xdr:nvSpPr>
      <xdr:spPr>
        <a:xfrm>
          <a:off x="5120329" y="2637011"/>
          <a:ext cx="337908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Y1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1629135</xdr:colOff>
      <xdr:row>13</xdr:row>
      <xdr:rowOff>127381</xdr:rowOff>
    </xdr:from>
    <xdr:to>
      <xdr:col>5</xdr:col>
      <xdr:colOff>1996108</xdr:colOff>
      <xdr:row>15</xdr:row>
      <xdr:rowOff>26586</xdr:rowOff>
    </xdr:to>
    <xdr:sp macro="" textlink="">
      <xdr:nvSpPr>
        <xdr:cNvPr id="5" name="TextBox 38"/>
        <xdr:cNvSpPr txBox="1"/>
      </xdr:nvSpPr>
      <xdr:spPr>
        <a:xfrm>
          <a:off x="6242548" y="2637011"/>
          <a:ext cx="36697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X2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1998232</xdr:colOff>
      <xdr:row>13</xdr:row>
      <xdr:rowOff>127381</xdr:rowOff>
    </xdr:from>
    <xdr:to>
      <xdr:col>5</xdr:col>
      <xdr:colOff>2352257</xdr:colOff>
      <xdr:row>15</xdr:row>
      <xdr:rowOff>26586</xdr:rowOff>
    </xdr:to>
    <xdr:sp macro="" textlink="">
      <xdr:nvSpPr>
        <xdr:cNvPr id="6" name="TextBox 39"/>
        <xdr:cNvSpPr txBox="1"/>
      </xdr:nvSpPr>
      <xdr:spPr>
        <a:xfrm>
          <a:off x="6611645" y="2637011"/>
          <a:ext cx="354025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Y2</a:t>
          </a:r>
          <a:endParaRPr lang="fr-CH">
            <a:solidFill>
              <a:schemeClr val="bg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604630</xdr:colOff>
      <xdr:row>15</xdr:row>
      <xdr:rowOff>74543</xdr:rowOff>
    </xdr:from>
    <xdr:to>
      <xdr:col>5</xdr:col>
      <xdr:colOff>3030331</xdr:colOff>
      <xdr:row>26</xdr:row>
      <xdr:rowOff>21740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587" r="17921"/>
        <a:stretch/>
      </xdr:blipFill>
      <xdr:spPr>
        <a:xfrm>
          <a:off x="5375413" y="2981739"/>
          <a:ext cx="2425701" cy="2059262"/>
        </a:xfrm>
        <a:prstGeom prst="rect">
          <a:avLst/>
        </a:prstGeom>
      </xdr:spPr>
    </xdr:pic>
    <xdr:clientData/>
  </xdr:twoCellAnchor>
  <xdr:twoCellAnchor>
    <xdr:from>
      <xdr:col>5</xdr:col>
      <xdr:colOff>121252</xdr:colOff>
      <xdr:row>12</xdr:row>
      <xdr:rowOff>127381</xdr:rowOff>
    </xdr:from>
    <xdr:to>
      <xdr:col>5</xdr:col>
      <xdr:colOff>496955</xdr:colOff>
      <xdr:row>14</xdr:row>
      <xdr:rowOff>18303</xdr:rowOff>
    </xdr:to>
    <xdr:sp macro="" textlink="">
      <xdr:nvSpPr>
        <xdr:cNvPr id="4" name="TextBox 7"/>
        <xdr:cNvSpPr txBox="1"/>
      </xdr:nvSpPr>
      <xdr:spPr>
        <a:xfrm>
          <a:off x="4892035" y="2446511"/>
          <a:ext cx="3757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X1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506916</xdr:colOff>
      <xdr:row>12</xdr:row>
      <xdr:rowOff>127381</xdr:rowOff>
    </xdr:from>
    <xdr:to>
      <xdr:col>5</xdr:col>
      <xdr:colOff>844824</xdr:colOff>
      <xdr:row>14</xdr:row>
      <xdr:rowOff>18303</xdr:rowOff>
    </xdr:to>
    <xdr:sp macro="" textlink="">
      <xdr:nvSpPr>
        <xdr:cNvPr id="5" name="TextBox 37"/>
        <xdr:cNvSpPr txBox="1"/>
      </xdr:nvSpPr>
      <xdr:spPr>
        <a:xfrm>
          <a:off x="5277699" y="2446511"/>
          <a:ext cx="337908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Y1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1629135</xdr:colOff>
      <xdr:row>12</xdr:row>
      <xdr:rowOff>127381</xdr:rowOff>
    </xdr:from>
    <xdr:to>
      <xdr:col>5</xdr:col>
      <xdr:colOff>1996108</xdr:colOff>
      <xdr:row>14</xdr:row>
      <xdr:rowOff>18303</xdr:rowOff>
    </xdr:to>
    <xdr:sp macro="" textlink="">
      <xdr:nvSpPr>
        <xdr:cNvPr id="6" name="TextBox 38"/>
        <xdr:cNvSpPr txBox="1"/>
      </xdr:nvSpPr>
      <xdr:spPr>
        <a:xfrm>
          <a:off x="6399918" y="2446511"/>
          <a:ext cx="36697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X2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1998232</xdr:colOff>
      <xdr:row>12</xdr:row>
      <xdr:rowOff>127381</xdr:rowOff>
    </xdr:from>
    <xdr:to>
      <xdr:col>5</xdr:col>
      <xdr:colOff>2352257</xdr:colOff>
      <xdr:row>14</xdr:row>
      <xdr:rowOff>18303</xdr:rowOff>
    </xdr:to>
    <xdr:sp macro="" textlink="">
      <xdr:nvSpPr>
        <xdr:cNvPr id="7" name="TextBox 39"/>
        <xdr:cNvSpPr txBox="1"/>
      </xdr:nvSpPr>
      <xdr:spPr>
        <a:xfrm>
          <a:off x="6769015" y="2446511"/>
          <a:ext cx="354025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Y2</a:t>
          </a:r>
          <a:endParaRPr lang="fr-CH">
            <a:solidFill>
              <a:schemeClr val="bg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12</xdr:row>
      <xdr:rowOff>0</xdr:rowOff>
    </xdr:from>
    <xdr:to>
      <xdr:col>5</xdr:col>
      <xdr:colOff>965201</xdr:colOff>
      <xdr:row>23</xdr:row>
      <xdr:rowOff>125068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8064" r="29179"/>
        <a:stretch/>
      </xdr:blipFill>
      <xdr:spPr>
        <a:xfrm>
          <a:off x="4613413" y="2335696"/>
          <a:ext cx="965201" cy="2228850"/>
        </a:xfrm>
        <a:prstGeom prst="rect">
          <a:avLst/>
        </a:prstGeom>
      </xdr:spPr>
    </xdr:pic>
    <xdr:clientData/>
  </xdr:twoCellAnchor>
  <xdr:twoCellAnchor>
    <xdr:from>
      <xdr:col>5</xdr:col>
      <xdr:colOff>129301</xdr:colOff>
      <xdr:row>12</xdr:row>
      <xdr:rowOff>8201</xdr:rowOff>
    </xdr:from>
    <xdr:to>
      <xdr:col>5</xdr:col>
      <xdr:colOff>542192</xdr:colOff>
      <xdr:row>13</xdr:row>
      <xdr:rowOff>97906</xdr:rowOff>
    </xdr:to>
    <xdr:sp macro="" textlink="">
      <xdr:nvSpPr>
        <xdr:cNvPr id="3" name="TextBox 50"/>
        <xdr:cNvSpPr txBox="1"/>
      </xdr:nvSpPr>
      <xdr:spPr>
        <a:xfrm>
          <a:off x="4737936" y="2338163"/>
          <a:ext cx="412891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X1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548096</xdr:colOff>
      <xdr:row>12</xdr:row>
      <xdr:rowOff>8201</xdr:rowOff>
    </xdr:from>
    <xdr:to>
      <xdr:col>5</xdr:col>
      <xdr:colOff>893883</xdr:colOff>
      <xdr:row>13</xdr:row>
      <xdr:rowOff>97906</xdr:rowOff>
    </xdr:to>
    <xdr:sp macro="" textlink="">
      <xdr:nvSpPr>
        <xdr:cNvPr id="4" name="TextBox 51"/>
        <xdr:cNvSpPr txBox="1"/>
      </xdr:nvSpPr>
      <xdr:spPr>
        <a:xfrm>
          <a:off x="5156731" y="2338163"/>
          <a:ext cx="345787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Y1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82669</xdr:colOff>
      <xdr:row>15</xdr:row>
      <xdr:rowOff>3147</xdr:rowOff>
    </xdr:from>
    <xdr:to>
      <xdr:col>5</xdr:col>
      <xdr:colOff>520210</xdr:colOff>
      <xdr:row>16</xdr:row>
      <xdr:rowOff>85526</xdr:rowOff>
    </xdr:to>
    <xdr:sp macro="" textlink="">
      <xdr:nvSpPr>
        <xdr:cNvPr id="5" name="TextBox 52"/>
        <xdr:cNvSpPr txBox="1"/>
      </xdr:nvSpPr>
      <xdr:spPr>
        <a:xfrm>
          <a:off x="4691304" y="2904609"/>
          <a:ext cx="437541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V1X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501464</xdr:colOff>
      <xdr:row>15</xdr:row>
      <xdr:rowOff>3147</xdr:rowOff>
    </xdr:from>
    <xdr:to>
      <xdr:col>5</xdr:col>
      <xdr:colOff>974479</xdr:colOff>
      <xdr:row>16</xdr:row>
      <xdr:rowOff>85526</xdr:rowOff>
    </xdr:to>
    <xdr:sp macro="" textlink="">
      <xdr:nvSpPr>
        <xdr:cNvPr id="6" name="TextBox 53"/>
        <xdr:cNvSpPr txBox="1"/>
      </xdr:nvSpPr>
      <xdr:spPr>
        <a:xfrm>
          <a:off x="5110099" y="2904609"/>
          <a:ext cx="473015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V1Y</a:t>
          </a:r>
          <a:endParaRPr lang="fr-CH">
            <a:solidFill>
              <a:schemeClr val="bg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121253</xdr:colOff>
      <xdr:row>13</xdr:row>
      <xdr:rowOff>127381</xdr:rowOff>
    </xdr:from>
    <xdr:to>
      <xdr:col>5</xdr:col>
      <xdr:colOff>398893</xdr:colOff>
      <xdr:row>15</xdr:row>
      <xdr:rowOff>23380</xdr:rowOff>
    </xdr:to>
    <xdr:sp macro="" textlink="">
      <xdr:nvSpPr>
        <xdr:cNvPr id="3" name="TextBox 7"/>
        <xdr:cNvSpPr txBox="1"/>
      </xdr:nvSpPr>
      <xdr:spPr>
        <a:xfrm>
          <a:off x="4892036" y="2653577"/>
          <a:ext cx="277640" cy="27699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X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540048</xdr:colOff>
      <xdr:row>13</xdr:row>
      <xdr:rowOff>127381</xdr:rowOff>
    </xdr:from>
    <xdr:to>
      <xdr:col>5</xdr:col>
      <xdr:colOff>817688</xdr:colOff>
      <xdr:row>15</xdr:row>
      <xdr:rowOff>23380</xdr:rowOff>
    </xdr:to>
    <xdr:sp macro="" textlink="">
      <xdr:nvSpPr>
        <xdr:cNvPr id="4" name="TextBox 37"/>
        <xdr:cNvSpPr txBox="1"/>
      </xdr:nvSpPr>
      <xdr:spPr>
        <a:xfrm>
          <a:off x="5310831" y="2653577"/>
          <a:ext cx="277640" cy="27699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Y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1629136</xdr:colOff>
      <xdr:row>13</xdr:row>
      <xdr:rowOff>127381</xdr:rowOff>
    </xdr:from>
    <xdr:to>
      <xdr:col>5</xdr:col>
      <xdr:colOff>1906776</xdr:colOff>
      <xdr:row>15</xdr:row>
      <xdr:rowOff>23380</xdr:rowOff>
    </xdr:to>
    <xdr:sp macro="" textlink="">
      <xdr:nvSpPr>
        <xdr:cNvPr id="5" name="TextBox 38"/>
        <xdr:cNvSpPr txBox="1"/>
      </xdr:nvSpPr>
      <xdr:spPr>
        <a:xfrm>
          <a:off x="6399919" y="2653577"/>
          <a:ext cx="277640" cy="27699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X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2047931</xdr:colOff>
      <xdr:row>13</xdr:row>
      <xdr:rowOff>127381</xdr:rowOff>
    </xdr:from>
    <xdr:to>
      <xdr:col>5</xdr:col>
      <xdr:colOff>2325571</xdr:colOff>
      <xdr:row>15</xdr:row>
      <xdr:rowOff>23380</xdr:rowOff>
    </xdr:to>
    <xdr:sp macro="" textlink="">
      <xdr:nvSpPr>
        <xdr:cNvPr id="6" name="TextBox 39"/>
        <xdr:cNvSpPr txBox="1"/>
      </xdr:nvSpPr>
      <xdr:spPr>
        <a:xfrm>
          <a:off x="6818714" y="2653577"/>
          <a:ext cx="277640" cy="27699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Y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1044933</xdr:colOff>
      <xdr:row>21</xdr:row>
      <xdr:rowOff>123603</xdr:rowOff>
    </xdr:to>
    <xdr:pic>
      <xdr:nvPicPr>
        <xdr:cNvPr id="7" name="Picture 6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7179" r="26424"/>
        <a:stretch/>
      </xdr:blipFill>
      <xdr:spPr>
        <a:xfrm>
          <a:off x="4770783" y="2335696"/>
          <a:ext cx="1044933" cy="1846385"/>
        </a:xfrm>
        <a:prstGeom prst="rect">
          <a:avLst/>
        </a:prstGeom>
      </xdr:spPr>
    </xdr:pic>
    <xdr:clientData/>
  </xdr:twoCellAnchor>
  <xdr:twoCellAnchor>
    <xdr:from>
      <xdr:col>5</xdr:col>
      <xdr:colOff>149817</xdr:colOff>
      <xdr:row>12</xdr:row>
      <xdr:rowOff>65353</xdr:rowOff>
    </xdr:from>
    <xdr:to>
      <xdr:col>5</xdr:col>
      <xdr:colOff>562708</xdr:colOff>
      <xdr:row>13</xdr:row>
      <xdr:rowOff>155058</xdr:rowOff>
    </xdr:to>
    <xdr:sp macro="" textlink="">
      <xdr:nvSpPr>
        <xdr:cNvPr id="8" name="TextBox 50"/>
        <xdr:cNvSpPr txBox="1"/>
      </xdr:nvSpPr>
      <xdr:spPr>
        <a:xfrm>
          <a:off x="4920600" y="2401049"/>
          <a:ext cx="412891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X1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568612</xdr:colOff>
      <xdr:row>12</xdr:row>
      <xdr:rowOff>65353</xdr:rowOff>
    </xdr:from>
    <xdr:to>
      <xdr:col>5</xdr:col>
      <xdr:colOff>914399</xdr:colOff>
      <xdr:row>13</xdr:row>
      <xdr:rowOff>155058</xdr:rowOff>
    </xdr:to>
    <xdr:sp macro="" textlink="">
      <xdr:nvSpPr>
        <xdr:cNvPr id="9" name="TextBox 51"/>
        <xdr:cNvSpPr txBox="1"/>
      </xdr:nvSpPr>
      <xdr:spPr>
        <a:xfrm>
          <a:off x="5339395" y="2401049"/>
          <a:ext cx="345787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Y1</a:t>
          </a:r>
          <a:endParaRPr lang="fr-CH">
            <a:solidFill>
              <a:schemeClr val="bg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12</xdr:row>
      <xdr:rowOff>0</xdr:rowOff>
    </xdr:from>
    <xdr:to>
      <xdr:col>5</xdr:col>
      <xdr:colOff>1044933</xdr:colOff>
      <xdr:row>21</xdr:row>
      <xdr:rowOff>123603</xdr:rowOff>
    </xdr:to>
    <xdr:pic>
      <xdr:nvPicPr>
        <xdr:cNvPr id="10" name="Picture 9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7179" r="26424"/>
        <a:stretch/>
      </xdr:blipFill>
      <xdr:spPr>
        <a:xfrm>
          <a:off x="4770783" y="2335696"/>
          <a:ext cx="1044933" cy="1846385"/>
        </a:xfrm>
        <a:prstGeom prst="rect">
          <a:avLst/>
        </a:prstGeom>
      </xdr:spPr>
    </xdr:pic>
    <xdr:clientData/>
  </xdr:twoCellAnchor>
  <xdr:twoCellAnchor>
    <xdr:from>
      <xdr:col>5</xdr:col>
      <xdr:colOff>149817</xdr:colOff>
      <xdr:row>12</xdr:row>
      <xdr:rowOff>65353</xdr:rowOff>
    </xdr:from>
    <xdr:to>
      <xdr:col>5</xdr:col>
      <xdr:colOff>562708</xdr:colOff>
      <xdr:row>13</xdr:row>
      <xdr:rowOff>155058</xdr:rowOff>
    </xdr:to>
    <xdr:sp macro="" textlink="">
      <xdr:nvSpPr>
        <xdr:cNvPr id="11" name="TextBox 50"/>
        <xdr:cNvSpPr txBox="1"/>
      </xdr:nvSpPr>
      <xdr:spPr>
        <a:xfrm>
          <a:off x="4920600" y="2401049"/>
          <a:ext cx="412891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X1</a:t>
          </a:r>
          <a:endParaRPr lang="fr-CH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568612</xdr:colOff>
      <xdr:row>12</xdr:row>
      <xdr:rowOff>65353</xdr:rowOff>
    </xdr:from>
    <xdr:to>
      <xdr:col>5</xdr:col>
      <xdr:colOff>914399</xdr:colOff>
      <xdr:row>13</xdr:row>
      <xdr:rowOff>155058</xdr:rowOff>
    </xdr:to>
    <xdr:sp macro="" textlink="">
      <xdr:nvSpPr>
        <xdr:cNvPr id="12" name="TextBox 51"/>
        <xdr:cNvSpPr txBox="1"/>
      </xdr:nvSpPr>
      <xdr:spPr>
        <a:xfrm>
          <a:off x="5339395" y="2401049"/>
          <a:ext cx="345787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Y1</a:t>
          </a:r>
          <a:endParaRPr lang="fr-CH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23"/>
  <sheetViews>
    <sheetView zoomScale="115" zoomScaleNormal="115" workbookViewId="0">
      <selection activeCell="F13" sqref="F13"/>
    </sheetView>
  </sheetViews>
  <sheetFormatPr defaultRowHeight="15" x14ac:dyDescent="0.25"/>
  <cols>
    <col min="2" max="2" width="27" customWidth="1"/>
    <col min="3" max="3" width="14.7109375" style="1" customWidth="1"/>
    <col min="6" max="6" width="62.140625" customWidth="1"/>
    <col min="7" max="7" width="12.42578125" style="1" customWidth="1"/>
    <col min="8" max="8" width="10.5703125" customWidth="1"/>
    <col min="9" max="9" width="13.28515625" customWidth="1"/>
    <col min="10" max="10" width="9.28515625" customWidth="1"/>
    <col min="11" max="11" width="25.28515625" customWidth="1"/>
    <col min="15" max="15" width="12.140625" style="42" customWidth="1"/>
    <col min="16" max="16" width="12" style="42" customWidth="1"/>
  </cols>
  <sheetData>
    <row r="1" spans="2:27" ht="15.75" thickBot="1" x14ac:dyDescent="0.3"/>
    <row r="2" spans="2:27" x14ac:dyDescent="0.25">
      <c r="B2" s="26" t="s">
        <v>42</v>
      </c>
      <c r="C2" s="17" t="s">
        <v>4</v>
      </c>
      <c r="D2" s="5"/>
      <c r="F2" s="32"/>
      <c r="G2" s="17"/>
      <c r="H2" s="17" t="s">
        <v>31</v>
      </c>
      <c r="I2" s="33"/>
      <c r="K2" s="36" t="s">
        <v>32</v>
      </c>
      <c r="L2" s="5"/>
      <c r="X2" s="44" t="s">
        <v>36</v>
      </c>
      <c r="Y2" s="44" t="s">
        <v>37</v>
      </c>
      <c r="Z2" s="44" t="s">
        <v>38</v>
      </c>
      <c r="AA2" s="42"/>
    </row>
    <row r="3" spans="2:27" x14ac:dyDescent="0.25">
      <c r="B3" s="6" t="s">
        <v>22</v>
      </c>
      <c r="C3" s="18" t="b">
        <v>1</v>
      </c>
      <c r="D3" s="7"/>
      <c r="F3" s="34" t="s">
        <v>43</v>
      </c>
      <c r="G3" s="30" t="s">
        <v>8</v>
      </c>
      <c r="H3" s="30" t="s">
        <v>7</v>
      </c>
      <c r="I3" s="35" t="s">
        <v>6</v>
      </c>
      <c r="K3" s="8" t="s">
        <v>28</v>
      </c>
      <c r="L3" s="39" t="b">
        <f>AND($C$7="Danger",$C$11="Danger",$C$15="Danger",$C$19="Danger")</f>
        <v>0</v>
      </c>
      <c r="X3" s="42" t="s">
        <v>6</v>
      </c>
      <c r="Y3" s="43" t="b">
        <v>1</v>
      </c>
      <c r="Z3" s="42" t="s">
        <v>40</v>
      </c>
      <c r="AA3" s="42"/>
    </row>
    <row r="4" spans="2:27" x14ac:dyDescent="0.25">
      <c r="B4" s="8" t="s">
        <v>0</v>
      </c>
      <c r="C4" s="19">
        <v>9.5</v>
      </c>
      <c r="D4" s="9" t="s">
        <v>5</v>
      </c>
      <c r="F4" s="8" t="s">
        <v>33</v>
      </c>
      <c r="G4" s="19" t="b">
        <f>AND($C$3,$C$6,$C$10,$C$14,$C$18)</f>
        <v>1</v>
      </c>
      <c r="H4" s="2" t="b">
        <f>G4</f>
        <v>1</v>
      </c>
      <c r="I4" s="25" t="b">
        <f>G4</f>
        <v>1</v>
      </c>
      <c r="K4" s="10" t="s">
        <v>29</v>
      </c>
      <c r="L4" s="40" t="b">
        <f>AND(OR($C$7="Alert",$C$7="Danger"),OR($C$11="Alert",$C$11="Danger"),OR($C$15="Alert",$C$15="Danger"),OR($C$19="Alert",$C$19="Danger"))</f>
        <v>1</v>
      </c>
      <c r="X4" s="42" t="s">
        <v>7</v>
      </c>
      <c r="Y4" s="43" t="b">
        <v>0</v>
      </c>
      <c r="Z4" s="42" t="s">
        <v>44</v>
      </c>
      <c r="AA4" s="42"/>
    </row>
    <row r="5" spans="2:27" ht="15.75" thickBot="1" x14ac:dyDescent="0.3">
      <c r="B5" s="10" t="s">
        <v>1</v>
      </c>
      <c r="C5" s="20">
        <v>10</v>
      </c>
      <c r="D5" s="11" t="s">
        <v>5</v>
      </c>
      <c r="F5" s="10" t="s">
        <v>23</v>
      </c>
      <c r="G5" s="20" t="b">
        <f>AND(L5,NOT(L4))</f>
        <v>0</v>
      </c>
      <c r="H5" s="3" t="b">
        <f>AND(L4,NOT(L3))</f>
        <v>1</v>
      </c>
      <c r="I5" s="24" t="b">
        <f>L3</f>
        <v>0</v>
      </c>
      <c r="J5" s="30"/>
      <c r="K5" s="37" t="s">
        <v>30</v>
      </c>
      <c r="L5" s="41" t="b">
        <f>AND(OR($C$7="Information",$C$7="Alert",$C$7="Danger"),OR($C$11="Information",$C$11="Alert",$C$11="Danger"),OR($C$15="Information",$C$15="Alert",$C$15="Danger"),OR($C$19="Information",$C$19="Alert",$C$19="Danger"))</f>
        <v>1</v>
      </c>
      <c r="X5" s="42" t="s">
        <v>8</v>
      </c>
      <c r="Y5" s="42"/>
      <c r="Z5" s="42" t="s">
        <v>41</v>
      </c>
      <c r="AA5" s="42"/>
    </row>
    <row r="6" spans="2:27" x14ac:dyDescent="0.25">
      <c r="B6" s="10" t="s">
        <v>2</v>
      </c>
      <c r="C6" s="20" t="b">
        <v>1</v>
      </c>
      <c r="D6" s="12"/>
      <c r="F6" s="10" t="s">
        <v>24</v>
      </c>
      <c r="G6" s="20" t="b">
        <f>AND(C4/C5&gt;C22,C8/C9&gt;C22,C12/C13&gt;C22,C16/C17&gt;C22)</f>
        <v>1</v>
      </c>
      <c r="H6" s="3" t="b">
        <f>AND(C4/C5&gt;C22,C8/C9&gt;C22,C12/C13&gt;C22,C16/C17&gt;C22)</f>
        <v>1</v>
      </c>
      <c r="I6" s="12" t="b">
        <f>AND(C4/C5&gt;C22,C8/C9&gt;C22,C12/C13&gt;C22,C16/C17&gt;C22)</f>
        <v>1</v>
      </c>
      <c r="J6" s="3"/>
      <c r="X6" s="42" t="s">
        <v>9</v>
      </c>
      <c r="Y6" s="42"/>
      <c r="Z6" s="42" t="s">
        <v>39</v>
      </c>
      <c r="AA6" s="42"/>
    </row>
    <row r="7" spans="2:27" ht="15.75" thickBot="1" x14ac:dyDescent="0.3">
      <c r="B7" s="13" t="s">
        <v>3</v>
      </c>
      <c r="C7" s="21" t="s">
        <v>7</v>
      </c>
      <c r="D7" s="14"/>
      <c r="F7" s="47" t="s">
        <v>34</v>
      </c>
      <c r="G7" s="48" t="b">
        <f>AND(G4:G6)</f>
        <v>0</v>
      </c>
      <c r="H7" s="49" t="b">
        <f t="shared" ref="H7:I7" si="0">AND(H4:H6)</f>
        <v>1</v>
      </c>
      <c r="I7" s="50" t="b">
        <f t="shared" si="0"/>
        <v>0</v>
      </c>
      <c r="J7" s="3"/>
    </row>
    <row r="8" spans="2:27" ht="15.75" thickBot="1" x14ac:dyDescent="0.3">
      <c r="B8" s="8" t="s">
        <v>10</v>
      </c>
      <c r="C8" s="19">
        <v>9.5</v>
      </c>
      <c r="D8" s="9" t="s">
        <v>5</v>
      </c>
      <c r="J8" s="3"/>
    </row>
    <row r="9" spans="2:27" x14ac:dyDescent="0.25">
      <c r="B9" s="10" t="s">
        <v>11</v>
      </c>
      <c r="C9" s="20">
        <v>10</v>
      </c>
      <c r="D9" s="11" t="s">
        <v>5</v>
      </c>
      <c r="F9" s="45" t="s">
        <v>35</v>
      </c>
      <c r="J9" s="30"/>
      <c r="K9" s="31"/>
    </row>
    <row r="10" spans="2:27" ht="15.75" thickBot="1" x14ac:dyDescent="0.3">
      <c r="B10" s="10" t="s">
        <v>12</v>
      </c>
      <c r="C10" s="20" t="b">
        <v>1</v>
      </c>
      <c r="D10" s="12"/>
      <c r="F10" s="46" t="str">
        <f>IF(G7,Z3,IF(H7,Z4,IF(I7,Z5,Z6)))</f>
        <v>Moderate imbalance</v>
      </c>
    </row>
    <row r="11" spans="2:27" x14ac:dyDescent="0.25">
      <c r="B11" s="13" t="s">
        <v>13</v>
      </c>
      <c r="C11" s="21" t="s">
        <v>6</v>
      </c>
      <c r="D11" s="14"/>
      <c r="G11"/>
    </row>
    <row r="12" spans="2:27" x14ac:dyDescent="0.25">
      <c r="B12" s="8" t="s">
        <v>14</v>
      </c>
      <c r="C12" s="19">
        <v>9.5</v>
      </c>
      <c r="D12" s="9" t="s">
        <v>5</v>
      </c>
      <c r="G12"/>
    </row>
    <row r="13" spans="2:27" x14ac:dyDescent="0.25">
      <c r="B13" s="10" t="s">
        <v>15</v>
      </c>
      <c r="C13" s="20">
        <v>10</v>
      </c>
      <c r="D13" s="11" t="s">
        <v>5</v>
      </c>
      <c r="G13"/>
    </row>
    <row r="14" spans="2:27" x14ac:dyDescent="0.25">
      <c r="B14" s="10" t="s">
        <v>16</v>
      </c>
      <c r="C14" s="20" t="b">
        <v>1</v>
      </c>
      <c r="D14" s="12"/>
      <c r="G14"/>
    </row>
    <row r="15" spans="2:27" x14ac:dyDescent="0.25">
      <c r="B15" s="13" t="s">
        <v>17</v>
      </c>
      <c r="C15" s="21" t="s">
        <v>6</v>
      </c>
      <c r="D15" s="14"/>
      <c r="G15"/>
    </row>
    <row r="16" spans="2:27" x14ac:dyDescent="0.25">
      <c r="B16" s="8" t="s">
        <v>18</v>
      </c>
      <c r="C16" s="19">
        <v>9.5</v>
      </c>
      <c r="D16" s="9" t="s">
        <v>5</v>
      </c>
      <c r="G16"/>
    </row>
    <row r="17" spans="2:7" x14ac:dyDescent="0.25">
      <c r="B17" s="10" t="s">
        <v>19</v>
      </c>
      <c r="C17" s="20">
        <v>10</v>
      </c>
      <c r="D17" s="11" t="s">
        <v>5</v>
      </c>
      <c r="G17"/>
    </row>
    <row r="18" spans="2:7" x14ac:dyDescent="0.25">
      <c r="B18" s="10" t="s">
        <v>20</v>
      </c>
      <c r="C18" s="20" t="b">
        <v>1</v>
      </c>
      <c r="D18" s="12"/>
      <c r="G18"/>
    </row>
    <row r="19" spans="2:7" ht="15.75" thickBot="1" x14ac:dyDescent="0.3">
      <c r="B19" s="15" t="s">
        <v>21</v>
      </c>
      <c r="C19" s="22" t="s">
        <v>6</v>
      </c>
      <c r="D19" s="16"/>
      <c r="G19"/>
    </row>
    <row r="20" spans="2:7" ht="15.75" thickBot="1" x14ac:dyDescent="0.3">
      <c r="G20"/>
    </row>
    <row r="21" spans="2:7" x14ac:dyDescent="0.25">
      <c r="B21" s="4" t="s">
        <v>27</v>
      </c>
      <c r="C21" s="23" t="s">
        <v>26</v>
      </c>
      <c r="G21"/>
    </row>
    <row r="22" spans="2:7" ht="15.75" thickBot="1" x14ac:dyDescent="0.3">
      <c r="B22" s="28" t="s">
        <v>25</v>
      </c>
      <c r="C22" s="29">
        <v>0.93</v>
      </c>
      <c r="G22"/>
    </row>
    <row r="23" spans="2:7" x14ac:dyDescent="0.25">
      <c r="G23"/>
    </row>
  </sheetData>
  <conditionalFormatting sqref="C10 C14 C18 L3:L5 G4:I7 C6 C3">
    <cfRule type="cellIs" dxfId="45" priority="21" operator="equal">
      <formula>$Y$3</formula>
    </cfRule>
    <cfRule type="cellIs" dxfId="44" priority="22" operator="equal">
      <formula>$Y$4</formula>
    </cfRule>
  </conditionalFormatting>
  <dataValidations count="2">
    <dataValidation type="list" allowBlank="1" showInputMessage="1" showErrorMessage="1" sqref="C6 C18 C14 C10 C3">
      <formula1>$Y$3:$Y$4</formula1>
    </dataValidation>
    <dataValidation type="list" showInputMessage="1" showErrorMessage="1" sqref="C7 C19 C15 C11">
      <formula1>$X$3:$X$6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0"/>
  <sheetViews>
    <sheetView zoomScale="115" zoomScaleNormal="115" workbookViewId="0">
      <selection activeCell="F26" sqref="F26"/>
    </sheetView>
  </sheetViews>
  <sheetFormatPr defaultRowHeight="15" x14ac:dyDescent="0.25"/>
  <cols>
    <col min="2" max="2" width="27" customWidth="1"/>
    <col min="3" max="3" width="14.7109375" style="1" customWidth="1"/>
    <col min="6" max="6" width="62.140625" customWidth="1"/>
    <col min="7" max="7" width="12.42578125" style="1" customWidth="1"/>
    <col min="8" max="8" width="10.5703125" customWidth="1"/>
    <col min="9" max="9" width="13.28515625" customWidth="1"/>
    <col min="10" max="10" width="9.28515625" customWidth="1"/>
    <col min="11" max="11" width="27" customWidth="1"/>
    <col min="15" max="15" width="12.140625" style="42" customWidth="1"/>
    <col min="16" max="16" width="12" style="42" customWidth="1"/>
  </cols>
  <sheetData>
    <row r="1" spans="2:27" ht="15.75" thickBot="1" x14ac:dyDescent="0.3"/>
    <row r="2" spans="2:27" x14ac:dyDescent="0.25">
      <c r="B2" s="4" t="s">
        <v>42</v>
      </c>
      <c r="C2" s="17" t="s">
        <v>4</v>
      </c>
      <c r="D2" s="5"/>
      <c r="F2" s="32"/>
      <c r="G2" s="17"/>
      <c r="H2" s="17" t="s">
        <v>31</v>
      </c>
      <c r="I2" s="33"/>
      <c r="K2" s="36" t="s">
        <v>32</v>
      </c>
      <c r="L2" s="5"/>
      <c r="X2" s="44" t="s">
        <v>36</v>
      </c>
      <c r="Y2" s="44" t="s">
        <v>37</v>
      </c>
      <c r="Z2" s="44" t="s">
        <v>38</v>
      </c>
      <c r="AA2" s="42"/>
    </row>
    <row r="3" spans="2:27" x14ac:dyDescent="0.25">
      <c r="B3" s="52" t="s">
        <v>22</v>
      </c>
      <c r="C3" s="19" t="b">
        <v>1</v>
      </c>
      <c r="D3" s="38"/>
      <c r="F3" s="34" t="s">
        <v>43</v>
      </c>
      <c r="G3" s="30" t="s">
        <v>8</v>
      </c>
      <c r="H3" s="30" t="s">
        <v>7</v>
      </c>
      <c r="I3" s="35" t="s">
        <v>6</v>
      </c>
      <c r="K3" s="8" t="s">
        <v>65</v>
      </c>
      <c r="L3" s="39" t="b">
        <f>AND($C$7="Danger",$C$13="Danger",$C$19="Danger",$C$25="Danger")</f>
        <v>1</v>
      </c>
      <c r="X3" s="42" t="s">
        <v>6</v>
      </c>
      <c r="Y3" s="43" t="b">
        <v>1</v>
      </c>
      <c r="Z3" s="42" t="s">
        <v>45</v>
      </c>
      <c r="AA3" s="42"/>
    </row>
    <row r="4" spans="2:27" x14ac:dyDescent="0.25">
      <c r="B4" s="8" t="s">
        <v>2</v>
      </c>
      <c r="C4" s="19" t="b">
        <v>1</v>
      </c>
      <c r="D4" s="38"/>
      <c r="F4" s="8" t="s">
        <v>33</v>
      </c>
      <c r="G4" s="19" t="b">
        <f>AND($C$3,$C$4,$C$10,$C$16,$C$22)</f>
        <v>1</v>
      </c>
      <c r="H4" s="2" t="b">
        <f>G4</f>
        <v>1</v>
      </c>
      <c r="I4" s="25" t="b">
        <f>G4</f>
        <v>1</v>
      </c>
      <c r="K4" s="10" t="s">
        <v>66</v>
      </c>
      <c r="L4" s="40" t="b">
        <f>AND(OR($C$7="Alert",$C$7="Danger"),OR($C$13="Alert",$C$13="Danger"),OR($C$19="Alert",$C$19="Danger"),OR($C$25="Alert",$C$25="Danger"))</f>
        <v>1</v>
      </c>
      <c r="X4" s="42" t="s">
        <v>7</v>
      </c>
      <c r="Y4" s="43" t="b">
        <v>0</v>
      </c>
      <c r="Z4" s="42" t="s">
        <v>46</v>
      </c>
      <c r="AA4" s="42"/>
    </row>
    <row r="5" spans="2:27" x14ac:dyDescent="0.25">
      <c r="B5" s="10" t="s">
        <v>0</v>
      </c>
      <c r="C5" s="20">
        <v>10</v>
      </c>
      <c r="D5" s="11" t="s">
        <v>5</v>
      </c>
      <c r="F5" s="10" t="s">
        <v>71</v>
      </c>
      <c r="G5" s="20" t="b">
        <f>AND(L5,NOT(L4))</f>
        <v>0</v>
      </c>
      <c r="H5" s="3" t="b">
        <f>AND(L4,NOT(L3))</f>
        <v>0</v>
      </c>
      <c r="I5" s="24" t="b">
        <f>L3</f>
        <v>1</v>
      </c>
      <c r="J5" s="30"/>
      <c r="K5" s="53" t="s">
        <v>67</v>
      </c>
      <c r="L5" s="40" t="b">
        <f>AND(OR($C$7="Information",$C$7="Alert",$C$7="Danger"),OR($C$13="Information",$C$13="Alert",$C$13="Danger"),OR($C$19="Information",$C$19="Alert",$C$19="Danger"),OR($C$25="Information",$C$25="Alert",$C$25="Danger"))</f>
        <v>1</v>
      </c>
      <c r="X5" s="42" t="s">
        <v>8</v>
      </c>
      <c r="Y5" s="42"/>
      <c r="Z5" s="42" t="s">
        <v>47</v>
      </c>
      <c r="AA5" s="42"/>
    </row>
    <row r="6" spans="2:27" x14ac:dyDescent="0.25">
      <c r="B6" s="10" t="s">
        <v>49</v>
      </c>
      <c r="C6" s="20">
        <v>8</v>
      </c>
      <c r="D6" s="11" t="s">
        <v>5</v>
      </c>
      <c r="F6" s="10" t="s">
        <v>72</v>
      </c>
      <c r="G6" s="20" t="b">
        <f>AND(L8,NOT(L7))</f>
        <v>0</v>
      </c>
      <c r="H6" s="3" t="b">
        <f>AND(L7,NOT(L6))</f>
        <v>0</v>
      </c>
      <c r="I6" s="24" t="b">
        <f>L6</f>
        <v>0</v>
      </c>
      <c r="J6" s="3"/>
      <c r="K6" s="8" t="s">
        <v>68</v>
      </c>
      <c r="L6" s="39" t="b">
        <f>AND($C$9="Danger",$C$15="Danger",$C$21="Danger",$C$27="Danger")</f>
        <v>0</v>
      </c>
      <c r="X6" s="42" t="s">
        <v>9</v>
      </c>
      <c r="Y6" s="42"/>
      <c r="Z6" s="42" t="s">
        <v>48</v>
      </c>
      <c r="AA6" s="42"/>
    </row>
    <row r="7" spans="2:27" x14ac:dyDescent="0.25">
      <c r="B7" s="10" t="s">
        <v>50</v>
      </c>
      <c r="C7" s="20" t="s">
        <v>6</v>
      </c>
      <c r="D7" s="12"/>
      <c r="F7" s="10" t="s">
        <v>73</v>
      </c>
      <c r="G7" s="20" t="b">
        <f>AND((C6+C8)/C5&gt;C30, (C12+C14)/C11&gt;C30,(C18+C20)/C17&gt;C30,(C24+C26)/C23&gt;C30)</f>
        <v>1</v>
      </c>
      <c r="H7" s="3" t="b">
        <f>G7</f>
        <v>1</v>
      </c>
      <c r="I7" s="12" t="b">
        <f>G7</f>
        <v>1</v>
      </c>
      <c r="J7" s="3"/>
      <c r="K7" s="10" t="s">
        <v>69</v>
      </c>
      <c r="L7" s="40" t="b">
        <f>AND(OR($C$9="Alert",$C$9="Danger"),OR($C$15="Alert",$C$15="Danger"),OR($C$21="Alert",$C$21="Danger"),OR($C$27="Alert",$C$27="Danger"))</f>
        <v>0</v>
      </c>
    </row>
    <row r="8" spans="2:27" ht="15.75" thickBot="1" x14ac:dyDescent="0.3">
      <c r="B8" s="10" t="s">
        <v>52</v>
      </c>
      <c r="C8" s="20">
        <v>3</v>
      </c>
      <c r="D8" s="11" t="s">
        <v>5</v>
      </c>
      <c r="F8" s="47" t="s">
        <v>74</v>
      </c>
      <c r="G8" s="48" t="b">
        <f t="shared" ref="G8:H8" si="0">AND(G4,OR(G5,G6),G7)</f>
        <v>0</v>
      </c>
      <c r="H8" s="49" t="b">
        <f t="shared" si="0"/>
        <v>0</v>
      </c>
      <c r="I8" s="50" t="b">
        <f>AND(I4,OR(I5,I6),I7)</f>
        <v>1</v>
      </c>
      <c r="J8" s="3"/>
      <c r="K8" s="37" t="s">
        <v>70</v>
      </c>
      <c r="L8" s="41" t="b">
        <f>AND(OR($C$9="Information",$C$9="Alert",$C$9="Danger"),OR($C$15="Information",$C$15="Alert",$C$15="Danger"),OR($C$21="Information",$C$21="Alert",$C$21="Danger"),OR($C$27="Information",$C$27="Alert",$C$27="Danger"))</f>
        <v>0</v>
      </c>
    </row>
    <row r="9" spans="2:27" ht="15.75" thickBot="1" x14ac:dyDescent="0.3">
      <c r="B9" s="10" t="s">
        <v>51</v>
      </c>
      <c r="C9" s="20" t="s">
        <v>9</v>
      </c>
      <c r="D9" s="12"/>
      <c r="J9" s="30"/>
      <c r="K9" s="31"/>
    </row>
    <row r="10" spans="2:27" x14ac:dyDescent="0.25">
      <c r="B10" s="8" t="s">
        <v>12</v>
      </c>
      <c r="C10" s="19" t="b">
        <v>1</v>
      </c>
      <c r="D10" s="38"/>
      <c r="F10" s="45" t="s">
        <v>35</v>
      </c>
    </row>
    <row r="11" spans="2:27" ht="15.75" thickBot="1" x14ac:dyDescent="0.3">
      <c r="B11" s="10" t="s">
        <v>10</v>
      </c>
      <c r="C11" s="20">
        <v>10</v>
      </c>
      <c r="D11" s="11" t="s">
        <v>5</v>
      </c>
      <c r="F11" s="46" t="str">
        <f>IF(G8,Z3,IF(H8,Z4,IF(I8,Z5,Z6)))</f>
        <v>Severe misalignment</v>
      </c>
    </row>
    <row r="12" spans="2:27" x14ac:dyDescent="0.25">
      <c r="B12" s="10" t="s">
        <v>53</v>
      </c>
      <c r="C12" s="20">
        <v>8</v>
      </c>
      <c r="D12" s="11" t="s">
        <v>5</v>
      </c>
      <c r="G12"/>
    </row>
    <row r="13" spans="2:27" x14ac:dyDescent="0.25">
      <c r="B13" s="10" t="s">
        <v>54</v>
      </c>
      <c r="C13" s="20" t="s">
        <v>6</v>
      </c>
      <c r="D13" s="12"/>
      <c r="G13"/>
    </row>
    <row r="14" spans="2:27" x14ac:dyDescent="0.25">
      <c r="B14" s="10" t="s">
        <v>55</v>
      </c>
      <c r="C14" s="20">
        <v>3</v>
      </c>
      <c r="D14" s="11" t="s">
        <v>5</v>
      </c>
      <c r="G14"/>
    </row>
    <row r="15" spans="2:27" x14ac:dyDescent="0.25">
      <c r="B15" s="10" t="s">
        <v>56</v>
      </c>
      <c r="C15" s="20" t="s">
        <v>9</v>
      </c>
      <c r="D15" s="12"/>
      <c r="G15"/>
    </row>
    <row r="16" spans="2:27" x14ac:dyDescent="0.25">
      <c r="B16" s="8" t="s">
        <v>16</v>
      </c>
      <c r="C16" s="19" t="b">
        <v>1</v>
      </c>
      <c r="D16" s="38"/>
      <c r="G16"/>
    </row>
    <row r="17" spans="2:7" x14ac:dyDescent="0.25">
      <c r="B17" s="10" t="s">
        <v>14</v>
      </c>
      <c r="C17" s="20">
        <v>10</v>
      </c>
      <c r="D17" s="11" t="s">
        <v>5</v>
      </c>
      <c r="G17"/>
    </row>
    <row r="18" spans="2:7" x14ac:dyDescent="0.25">
      <c r="B18" s="10" t="s">
        <v>57</v>
      </c>
      <c r="C18" s="20">
        <v>8</v>
      </c>
      <c r="D18" s="11" t="s">
        <v>5</v>
      </c>
      <c r="G18"/>
    </row>
    <row r="19" spans="2:7" x14ac:dyDescent="0.25">
      <c r="B19" s="10" t="s">
        <v>58</v>
      </c>
      <c r="C19" s="20" t="s">
        <v>6</v>
      </c>
      <c r="D19" s="12"/>
      <c r="G19"/>
    </row>
    <row r="20" spans="2:7" x14ac:dyDescent="0.25">
      <c r="B20" s="10" t="s">
        <v>59</v>
      </c>
      <c r="C20" s="20">
        <v>3</v>
      </c>
      <c r="D20" s="11" t="s">
        <v>5</v>
      </c>
      <c r="G20"/>
    </row>
    <row r="21" spans="2:7" x14ac:dyDescent="0.25">
      <c r="B21" s="10" t="s">
        <v>60</v>
      </c>
      <c r="C21" s="20" t="s">
        <v>9</v>
      </c>
      <c r="D21" s="12"/>
      <c r="G21"/>
    </row>
    <row r="22" spans="2:7" x14ac:dyDescent="0.25">
      <c r="B22" s="8" t="s">
        <v>20</v>
      </c>
      <c r="C22" s="19" t="b">
        <v>1</v>
      </c>
      <c r="D22" s="38"/>
      <c r="G22"/>
    </row>
    <row r="23" spans="2:7" x14ac:dyDescent="0.25">
      <c r="B23" s="10" t="s">
        <v>18</v>
      </c>
      <c r="C23" s="20">
        <v>10</v>
      </c>
      <c r="D23" s="11" t="s">
        <v>5</v>
      </c>
      <c r="G23"/>
    </row>
    <row r="24" spans="2:7" x14ac:dyDescent="0.25">
      <c r="B24" s="10" t="s">
        <v>61</v>
      </c>
      <c r="C24" s="20">
        <v>8</v>
      </c>
      <c r="D24" s="11" t="s">
        <v>5</v>
      </c>
    </row>
    <row r="25" spans="2:7" x14ac:dyDescent="0.25">
      <c r="B25" s="10" t="s">
        <v>62</v>
      </c>
      <c r="C25" s="20" t="s">
        <v>6</v>
      </c>
      <c r="D25" s="12"/>
    </row>
    <row r="26" spans="2:7" x14ac:dyDescent="0.25">
      <c r="B26" s="10" t="s">
        <v>63</v>
      </c>
      <c r="C26" s="20">
        <v>3</v>
      </c>
      <c r="D26" s="11" t="s">
        <v>5</v>
      </c>
    </row>
    <row r="27" spans="2:7" ht="15.75" thickBot="1" x14ac:dyDescent="0.3">
      <c r="B27" s="15" t="s">
        <v>64</v>
      </c>
      <c r="C27" s="22" t="s">
        <v>9</v>
      </c>
      <c r="D27" s="16"/>
    </row>
    <row r="28" spans="2:7" ht="15.75" thickBot="1" x14ac:dyDescent="0.3"/>
    <row r="29" spans="2:7" x14ac:dyDescent="0.25">
      <c r="B29" s="4" t="s">
        <v>27</v>
      </c>
      <c r="C29" s="23" t="s">
        <v>26</v>
      </c>
    </row>
    <row r="30" spans="2:7" ht="15.75" thickBot="1" x14ac:dyDescent="0.3">
      <c r="B30" s="28" t="s">
        <v>75</v>
      </c>
      <c r="C30" s="29">
        <v>1</v>
      </c>
    </row>
  </sheetData>
  <conditionalFormatting sqref="L3:L5 G4:I5 G7:I8">
    <cfRule type="cellIs" dxfId="43" priority="13" operator="equal">
      <formula>$Y$3</formula>
    </cfRule>
    <cfRule type="cellIs" dxfId="42" priority="14" operator="equal">
      <formula>$Y$4</formula>
    </cfRule>
  </conditionalFormatting>
  <conditionalFormatting sqref="C4 C3">
    <cfRule type="cellIs" dxfId="41" priority="12" operator="equal">
      <formula>$Y$4</formula>
    </cfRule>
  </conditionalFormatting>
  <conditionalFormatting sqref="C10">
    <cfRule type="cellIs" dxfId="40" priority="9" operator="equal">
      <formula>$Y$3</formula>
    </cfRule>
    <cfRule type="cellIs" dxfId="39" priority="10" operator="equal">
      <formula>$Y$4</formula>
    </cfRule>
  </conditionalFormatting>
  <conditionalFormatting sqref="L6:L8">
    <cfRule type="cellIs" dxfId="38" priority="3" operator="equal">
      <formula>$Y$3</formula>
    </cfRule>
    <cfRule type="cellIs" dxfId="37" priority="4" operator="equal">
      <formula>$Y$4</formula>
    </cfRule>
  </conditionalFormatting>
  <conditionalFormatting sqref="C16">
    <cfRule type="cellIs" dxfId="36" priority="7" operator="equal">
      <formula>$Y$3</formula>
    </cfRule>
    <cfRule type="cellIs" dxfId="35" priority="8" operator="equal">
      <formula>$Y$4</formula>
    </cfRule>
  </conditionalFormatting>
  <conditionalFormatting sqref="C22">
    <cfRule type="cellIs" dxfId="34" priority="5" operator="equal">
      <formula>$Y$3</formula>
    </cfRule>
    <cfRule type="cellIs" dxfId="33" priority="6" operator="equal">
      <formula>$Y$4</formula>
    </cfRule>
  </conditionalFormatting>
  <conditionalFormatting sqref="G6:I6">
    <cfRule type="cellIs" dxfId="32" priority="1" operator="equal">
      <formula>$Y$3</formula>
    </cfRule>
    <cfRule type="cellIs" dxfId="31" priority="2" operator="equal">
      <formula>$Y$4</formula>
    </cfRule>
  </conditionalFormatting>
  <conditionalFormatting sqref="C3:C4">
    <cfRule type="cellIs" dxfId="30" priority="11" operator="equal">
      <formula>$Y$3</formula>
    </cfRule>
  </conditionalFormatting>
  <dataValidations count="2">
    <dataValidation type="list" showInputMessage="1" showErrorMessage="1" sqref="C9 C7 C13 C15 C21 C19 C25 C27">
      <formula1>$X$3:$X$6</formula1>
    </dataValidation>
    <dataValidation type="list" allowBlank="1" showInputMessage="1" showErrorMessage="1" sqref="C3:C4 C10 C16 C22">
      <formula1>$Y$3:$Y$4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23"/>
  <sheetViews>
    <sheetView tabSelected="1" zoomScale="115" zoomScaleNormal="115" workbookViewId="0">
      <selection activeCell="L10" sqref="L10:L13"/>
    </sheetView>
  </sheetViews>
  <sheetFormatPr defaultRowHeight="15" x14ac:dyDescent="0.25"/>
  <cols>
    <col min="2" max="2" width="29.28515625" customWidth="1"/>
    <col min="3" max="3" width="14.7109375" style="1" customWidth="1"/>
    <col min="6" max="6" width="65.85546875" customWidth="1"/>
    <col min="7" max="7" width="12.42578125" style="1" customWidth="1"/>
    <col min="8" max="8" width="10.5703125" customWidth="1"/>
    <col min="9" max="9" width="13.28515625" customWidth="1"/>
    <col min="10" max="10" width="13.42578125" customWidth="1"/>
    <col min="11" max="11" width="25.28515625" customWidth="1"/>
    <col min="12" max="12" width="9.140625" style="1"/>
    <col min="15" max="15" width="12.140625" style="42" customWidth="1"/>
    <col min="16" max="16" width="12" style="42" customWidth="1"/>
  </cols>
  <sheetData>
    <row r="1" spans="2:27" ht="15.75" thickBot="1" x14ac:dyDescent="0.3"/>
    <row r="2" spans="2:27" x14ac:dyDescent="0.25">
      <c r="B2" s="26" t="s">
        <v>42</v>
      </c>
      <c r="C2" s="17" t="s">
        <v>4</v>
      </c>
      <c r="D2" s="5"/>
      <c r="F2" s="32"/>
      <c r="G2" s="17"/>
      <c r="H2" s="17" t="s">
        <v>31</v>
      </c>
      <c r="I2" s="33"/>
      <c r="K2" s="36" t="s">
        <v>32</v>
      </c>
      <c r="L2" s="58"/>
      <c r="X2" s="44" t="s">
        <v>36</v>
      </c>
      <c r="Y2" s="44" t="s">
        <v>37</v>
      </c>
      <c r="Z2" s="44" t="s">
        <v>38</v>
      </c>
      <c r="AA2" s="42"/>
    </row>
    <row r="3" spans="2:27" x14ac:dyDescent="0.25">
      <c r="B3" s="6" t="s">
        <v>22</v>
      </c>
      <c r="C3" s="18" t="b">
        <v>1</v>
      </c>
      <c r="D3" s="7"/>
      <c r="F3" s="34" t="s">
        <v>43</v>
      </c>
      <c r="G3" s="30" t="s">
        <v>8</v>
      </c>
      <c r="H3" s="30" t="s">
        <v>7</v>
      </c>
      <c r="I3" s="35" t="s">
        <v>6</v>
      </c>
      <c r="K3" s="8" t="s">
        <v>127</v>
      </c>
      <c r="L3" s="64">
        <f>IF(C6&gt;$C$18,4,IF(C6&gt;$C$19,3,IF(C6&gt;$C$20,2,1)))</f>
        <v>4</v>
      </c>
      <c r="X3" s="42" t="s">
        <v>6</v>
      </c>
      <c r="Y3" s="43" t="b">
        <v>1</v>
      </c>
      <c r="Z3" s="42" t="s">
        <v>121</v>
      </c>
      <c r="AA3" s="42"/>
    </row>
    <row r="4" spans="2:27" x14ac:dyDescent="0.25">
      <c r="B4" s="10" t="s">
        <v>2</v>
      </c>
      <c r="C4" s="20" t="b">
        <v>1</v>
      </c>
      <c r="D4" s="12"/>
      <c r="F4" s="8" t="s">
        <v>33</v>
      </c>
      <c r="G4" s="19" t="b">
        <f>AND($C$3,$C$4,$C$7,$C$10,$C$13)</f>
        <v>1</v>
      </c>
      <c r="H4" s="2" t="b">
        <f>G4</f>
        <v>1</v>
      </c>
      <c r="I4" s="25" t="b">
        <f>G4</f>
        <v>1</v>
      </c>
      <c r="K4" s="10" t="s">
        <v>128</v>
      </c>
      <c r="L4" s="27">
        <f>IF(C9&gt;$C$18,4,IF(C9&gt;$C$19,3,IF(C9&gt;$C$20,2,1)))</f>
        <v>4</v>
      </c>
      <c r="X4" s="42" t="s">
        <v>7</v>
      </c>
      <c r="Y4" s="43" t="b">
        <v>0</v>
      </c>
      <c r="Z4" s="42" t="s">
        <v>122</v>
      </c>
      <c r="AA4" s="42"/>
    </row>
    <row r="5" spans="2:27" x14ac:dyDescent="0.25">
      <c r="B5" s="10" t="s">
        <v>1</v>
      </c>
      <c r="C5" s="20">
        <v>70</v>
      </c>
      <c r="D5" s="11" t="s">
        <v>5</v>
      </c>
      <c r="F5" s="10" t="s">
        <v>125</v>
      </c>
      <c r="G5" s="20" t="b">
        <f>AND(L9,NOT(L8))</f>
        <v>0</v>
      </c>
      <c r="H5" s="3" t="b">
        <f>AND(L8,NOT(L7))</f>
        <v>0</v>
      </c>
      <c r="I5" s="24" t="b">
        <f>L7</f>
        <v>1</v>
      </c>
      <c r="J5" s="30"/>
      <c r="K5" s="8" t="s">
        <v>129</v>
      </c>
      <c r="L5" s="64">
        <f>IF(C12&gt;$C$18,4,IF(C12&gt;$C$19,3,IF(C12&gt;$C$20,2,1)))</f>
        <v>4</v>
      </c>
      <c r="X5" s="42" t="s">
        <v>8</v>
      </c>
      <c r="Y5" s="42"/>
      <c r="Z5" s="42" t="s">
        <v>123</v>
      </c>
      <c r="AA5" s="42"/>
    </row>
    <row r="6" spans="2:27" x14ac:dyDescent="0.25">
      <c r="B6" s="10" t="s">
        <v>116</v>
      </c>
      <c r="C6" s="20">
        <v>16</v>
      </c>
      <c r="D6" s="11" t="s">
        <v>5</v>
      </c>
      <c r="F6" s="53" t="s">
        <v>126</v>
      </c>
      <c r="G6" s="20" t="b">
        <f>AND(C6/C5&gt;C21,C9/C8&gt;C21,C12/C11&gt;C21,C15/C14&gt;C21)</f>
        <v>0</v>
      </c>
      <c r="H6" s="31" t="b">
        <f>G6</f>
        <v>0</v>
      </c>
      <c r="I6" s="12" t="b">
        <f>G6</f>
        <v>0</v>
      </c>
      <c r="J6" s="3"/>
      <c r="K6" s="10" t="s">
        <v>130</v>
      </c>
      <c r="L6" s="27">
        <f>IF(C15&gt;$C$18,4,IF(C15&gt;$C$19,3,IF(C15&gt;$C$20,2,1)))</f>
        <v>4</v>
      </c>
      <c r="X6" s="42" t="s">
        <v>9</v>
      </c>
      <c r="Y6" s="42"/>
      <c r="Z6" s="42" t="s">
        <v>124</v>
      </c>
      <c r="AA6" s="42"/>
    </row>
    <row r="7" spans="2:27" ht="15.75" thickBot="1" x14ac:dyDescent="0.3">
      <c r="B7" s="8" t="s">
        <v>12</v>
      </c>
      <c r="C7" s="19" t="b">
        <v>1</v>
      </c>
      <c r="D7" s="38"/>
      <c r="F7" s="47" t="s">
        <v>120</v>
      </c>
      <c r="G7" s="48" t="b">
        <f>AND(G4:G6)</f>
        <v>0</v>
      </c>
      <c r="H7" s="49" t="b">
        <f>AND(H4:H6)</f>
        <v>0</v>
      </c>
      <c r="I7" s="50" t="b">
        <f>AND(I4:I6)</f>
        <v>0</v>
      </c>
      <c r="J7" s="3"/>
      <c r="K7" s="8" t="s">
        <v>28</v>
      </c>
      <c r="L7" s="64" t="b">
        <f>AND($L$3=4,$L$5=4,$L$6=4,$L$4=4)</f>
        <v>1</v>
      </c>
    </row>
    <row r="8" spans="2:27" ht="15.75" thickBot="1" x14ac:dyDescent="0.3">
      <c r="B8" s="10" t="s">
        <v>11</v>
      </c>
      <c r="C8" s="20">
        <v>50</v>
      </c>
      <c r="D8" s="11" t="s">
        <v>5</v>
      </c>
      <c r="J8" s="3"/>
      <c r="K8" s="10" t="s">
        <v>29</v>
      </c>
      <c r="L8" s="27" t="b">
        <f>AND($L$3&gt;=3,$L$6&gt;=3,$L$5&gt;=3,$L$4&gt;=3)</f>
        <v>1</v>
      </c>
    </row>
    <row r="9" spans="2:27" x14ac:dyDescent="0.25">
      <c r="B9" s="10" t="s">
        <v>117</v>
      </c>
      <c r="C9" s="20">
        <v>16</v>
      </c>
      <c r="D9" s="11" t="s">
        <v>5</v>
      </c>
      <c r="F9" s="45" t="s">
        <v>35</v>
      </c>
      <c r="J9" s="30"/>
      <c r="K9" s="53" t="s">
        <v>30</v>
      </c>
      <c r="L9" s="27" t="b">
        <f>AND($L$3&gt;=2,$L$5&gt;=2,$L$6&gt;=2,$L$4&gt;=2)</f>
        <v>1</v>
      </c>
    </row>
    <row r="10" spans="2:27" ht="15.75" thickBot="1" x14ac:dyDescent="0.3">
      <c r="B10" s="8" t="s">
        <v>16</v>
      </c>
      <c r="C10" s="19" t="b">
        <v>1</v>
      </c>
      <c r="D10" s="38"/>
      <c r="F10" s="46" t="str">
        <f>IF(G7,Z3,IF(H7,Z4,IF(I7,Z5,Z6)))</f>
        <v>No rub</v>
      </c>
      <c r="H10" s="31"/>
      <c r="K10" s="67" t="s">
        <v>135</v>
      </c>
      <c r="L10" s="68">
        <f>C6/C5</f>
        <v>0.22857142857142856</v>
      </c>
    </row>
    <row r="11" spans="2:27" x14ac:dyDescent="0.25">
      <c r="B11" s="10" t="s">
        <v>15</v>
      </c>
      <c r="C11" s="20">
        <v>50</v>
      </c>
      <c r="D11" s="11" t="s">
        <v>5</v>
      </c>
      <c r="K11" s="53" t="s">
        <v>136</v>
      </c>
      <c r="L11" s="65">
        <f>C9/C8</f>
        <v>0.32</v>
      </c>
    </row>
    <row r="12" spans="2:27" x14ac:dyDescent="0.25">
      <c r="B12" s="10" t="s">
        <v>118</v>
      </c>
      <c r="C12" s="20">
        <v>16</v>
      </c>
      <c r="D12" s="11" t="s">
        <v>5</v>
      </c>
      <c r="G12"/>
      <c r="K12" s="53" t="s">
        <v>137</v>
      </c>
      <c r="L12" s="65">
        <f>C12/C11</f>
        <v>0.32</v>
      </c>
    </row>
    <row r="13" spans="2:27" ht="15.75" thickBot="1" x14ac:dyDescent="0.3">
      <c r="B13" s="8" t="s">
        <v>20</v>
      </c>
      <c r="C13" s="19" t="b">
        <v>1</v>
      </c>
      <c r="D13" s="38"/>
      <c r="G13"/>
      <c r="K13" s="37" t="s">
        <v>138</v>
      </c>
      <c r="L13" s="66">
        <f>C15/C14</f>
        <v>0.32</v>
      </c>
    </row>
    <row r="14" spans="2:27" x14ac:dyDescent="0.25">
      <c r="B14" s="10" t="s">
        <v>19</v>
      </c>
      <c r="C14" s="20">
        <v>50</v>
      </c>
      <c r="D14" s="11" t="s">
        <v>5</v>
      </c>
      <c r="G14"/>
    </row>
    <row r="15" spans="2:27" ht="15.75" thickBot="1" x14ac:dyDescent="0.3">
      <c r="B15" s="15" t="s">
        <v>119</v>
      </c>
      <c r="C15" s="22">
        <v>16</v>
      </c>
      <c r="D15" s="54" t="s">
        <v>5</v>
      </c>
      <c r="G15"/>
    </row>
    <row r="16" spans="2:27" ht="15.75" thickBot="1" x14ac:dyDescent="0.3">
      <c r="G16"/>
    </row>
    <row r="17" spans="2:7" x14ac:dyDescent="0.25">
      <c r="B17" s="4" t="s">
        <v>27</v>
      </c>
      <c r="C17" s="63" t="s">
        <v>26</v>
      </c>
      <c r="D17" s="60"/>
      <c r="G17"/>
    </row>
    <row r="18" spans="2:7" x14ac:dyDescent="0.25">
      <c r="B18" s="8" t="s">
        <v>131</v>
      </c>
      <c r="C18" s="20">
        <v>12</v>
      </c>
      <c r="D18" s="9" t="s">
        <v>5</v>
      </c>
      <c r="G18"/>
    </row>
    <row r="19" spans="2:7" x14ac:dyDescent="0.25">
      <c r="B19" s="10" t="s">
        <v>132</v>
      </c>
      <c r="C19" s="20">
        <v>10</v>
      </c>
      <c r="D19" s="11" t="s">
        <v>5</v>
      </c>
      <c r="G19"/>
    </row>
    <row r="20" spans="2:7" x14ac:dyDescent="0.25">
      <c r="B20" s="10" t="s">
        <v>133</v>
      </c>
      <c r="C20" s="20">
        <v>8</v>
      </c>
      <c r="D20" s="11" t="s">
        <v>5</v>
      </c>
      <c r="G20"/>
    </row>
    <row r="21" spans="2:7" ht="15.75" thickBot="1" x14ac:dyDescent="0.3">
      <c r="B21" s="37" t="s">
        <v>134</v>
      </c>
      <c r="C21" s="62">
        <v>0.3</v>
      </c>
      <c r="D21" s="16"/>
      <c r="G21"/>
    </row>
    <row r="22" spans="2:7" x14ac:dyDescent="0.25">
      <c r="G22"/>
    </row>
    <row r="23" spans="2:7" x14ac:dyDescent="0.25">
      <c r="G23"/>
    </row>
  </sheetData>
  <conditionalFormatting sqref="L7:L9 G4:I7">
    <cfRule type="cellIs" dxfId="29" priority="12" operator="equal">
      <formula>$Y$4</formula>
    </cfRule>
  </conditionalFormatting>
  <conditionalFormatting sqref="C3:C4">
    <cfRule type="cellIs" dxfId="28" priority="10" operator="equal">
      <formula>$Y$4</formula>
    </cfRule>
  </conditionalFormatting>
  <conditionalFormatting sqref="C3:C4">
    <cfRule type="cellIs" dxfId="27" priority="9" operator="equal">
      <formula>$Y$3</formula>
    </cfRule>
  </conditionalFormatting>
  <conditionalFormatting sqref="L7:L9 G4:I7">
    <cfRule type="cellIs" dxfId="26" priority="11" operator="equal">
      <formula>$Y$3</formula>
    </cfRule>
  </conditionalFormatting>
  <conditionalFormatting sqref="C7">
    <cfRule type="cellIs" dxfId="25" priority="6" operator="equal">
      <formula>$Y$4</formula>
    </cfRule>
  </conditionalFormatting>
  <conditionalFormatting sqref="C7">
    <cfRule type="cellIs" dxfId="24" priority="5" operator="equal">
      <formula>$Y$3</formula>
    </cfRule>
  </conditionalFormatting>
  <conditionalFormatting sqref="C10">
    <cfRule type="cellIs" dxfId="23" priority="4" operator="equal">
      <formula>$Y$4</formula>
    </cfRule>
  </conditionalFormatting>
  <conditionalFormatting sqref="C10">
    <cfRule type="cellIs" dxfId="22" priority="3" operator="equal">
      <formula>$Y$3</formula>
    </cfRule>
  </conditionalFormatting>
  <conditionalFormatting sqref="C13">
    <cfRule type="cellIs" dxfId="21" priority="2" operator="equal">
      <formula>$Y$4</formula>
    </cfRule>
  </conditionalFormatting>
  <conditionalFormatting sqref="C13">
    <cfRule type="cellIs" dxfId="20" priority="1" operator="equal">
      <formula>$Y$3</formula>
    </cfRule>
  </conditionalFormatting>
  <dataValidations count="1">
    <dataValidation type="list" allowBlank="1" showInputMessage="1" showErrorMessage="1" sqref="C3:C4 C7 C10 C13">
      <formula1>$Y$3:$Y$4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23"/>
  <sheetViews>
    <sheetView zoomScale="130" zoomScaleNormal="130" workbookViewId="0">
      <selection activeCell="C21" sqref="C21"/>
    </sheetView>
  </sheetViews>
  <sheetFormatPr defaultRowHeight="15" x14ac:dyDescent="0.25"/>
  <cols>
    <col min="2" max="2" width="27" customWidth="1"/>
    <col min="3" max="3" width="14.7109375" style="1" customWidth="1"/>
    <col min="6" max="6" width="65.85546875" customWidth="1"/>
    <col min="7" max="7" width="12.42578125" style="1" customWidth="1"/>
    <col min="8" max="8" width="10.5703125" customWidth="1"/>
    <col min="9" max="9" width="13.28515625" customWidth="1"/>
    <col min="10" max="10" width="9.28515625" customWidth="1"/>
    <col min="11" max="11" width="25.28515625" customWidth="1"/>
    <col min="12" max="12" width="9.140625" style="1"/>
    <col min="15" max="15" width="12.140625" style="42" customWidth="1"/>
    <col min="16" max="16" width="12" style="42" customWidth="1"/>
  </cols>
  <sheetData>
    <row r="1" spans="2:27" ht="15.75" thickBot="1" x14ac:dyDescent="0.3"/>
    <row r="2" spans="2:27" x14ac:dyDescent="0.25">
      <c r="B2" s="26" t="s">
        <v>42</v>
      </c>
      <c r="C2" s="17" t="s">
        <v>4</v>
      </c>
      <c r="D2" s="5"/>
      <c r="F2" s="32"/>
      <c r="G2" s="17"/>
      <c r="H2" s="17" t="s">
        <v>31</v>
      </c>
      <c r="I2" s="33"/>
      <c r="K2" s="36" t="s">
        <v>32</v>
      </c>
      <c r="L2" s="58"/>
      <c r="X2" s="44" t="s">
        <v>36</v>
      </c>
      <c r="Y2" s="44" t="s">
        <v>37</v>
      </c>
      <c r="Z2" s="44" t="s">
        <v>38</v>
      </c>
      <c r="AA2" s="42"/>
    </row>
    <row r="3" spans="2:27" x14ac:dyDescent="0.25">
      <c r="B3" s="6" t="s">
        <v>22</v>
      </c>
      <c r="C3" s="18" t="b">
        <v>1</v>
      </c>
      <c r="D3" s="7"/>
      <c r="F3" s="34" t="s">
        <v>43</v>
      </c>
      <c r="G3" s="30" t="s">
        <v>8</v>
      </c>
      <c r="H3" s="30" t="s">
        <v>7</v>
      </c>
      <c r="I3" s="35" t="s">
        <v>6</v>
      </c>
      <c r="K3" s="8" t="s">
        <v>86</v>
      </c>
      <c r="L3" s="55">
        <f>C7/C5</f>
        <v>0.7</v>
      </c>
      <c r="X3" s="42" t="s">
        <v>6</v>
      </c>
      <c r="Y3" s="43" t="b">
        <v>1</v>
      </c>
      <c r="Z3" s="42" t="s">
        <v>90</v>
      </c>
      <c r="AA3" s="42"/>
    </row>
    <row r="4" spans="2:27" x14ac:dyDescent="0.25">
      <c r="B4" s="10" t="s">
        <v>2</v>
      </c>
      <c r="C4" s="20" t="b">
        <v>1</v>
      </c>
      <c r="D4" s="12"/>
      <c r="F4" s="8" t="s">
        <v>33</v>
      </c>
      <c r="G4" s="19" t="b">
        <f>AND($C$3,$C$4,$C$6,$C$8,$C$10)</f>
        <v>1</v>
      </c>
      <c r="H4" s="2" t="b">
        <f>G4</f>
        <v>1</v>
      </c>
      <c r="I4" s="25" t="b">
        <f>G4</f>
        <v>1</v>
      </c>
      <c r="K4" s="10" t="s">
        <v>87</v>
      </c>
      <c r="L4" s="56">
        <f>C11/C9</f>
        <v>0.9</v>
      </c>
      <c r="X4" s="42" t="s">
        <v>7</v>
      </c>
      <c r="Y4" s="43" t="b">
        <v>0</v>
      </c>
      <c r="Z4" s="42" t="s">
        <v>91</v>
      </c>
      <c r="AA4" s="42"/>
    </row>
    <row r="5" spans="2:27" x14ac:dyDescent="0.25">
      <c r="B5" s="10" t="s">
        <v>1</v>
      </c>
      <c r="C5" s="20">
        <v>1</v>
      </c>
      <c r="D5" s="11" t="s">
        <v>5</v>
      </c>
      <c r="F5" s="10" t="s">
        <v>80</v>
      </c>
      <c r="G5" s="20" t="b">
        <f>AND(L9,NOT(L8))</f>
        <v>0</v>
      </c>
      <c r="H5" s="3" t="b">
        <f>AND(L8,NOT(L7))</f>
        <v>1</v>
      </c>
      <c r="I5" s="24" t="b">
        <f>L7</f>
        <v>0</v>
      </c>
      <c r="J5" s="30"/>
      <c r="K5" s="10" t="s">
        <v>84</v>
      </c>
      <c r="L5" s="27">
        <f>IF(L3&gt;$C$14,4,IF(L3&gt;$C$15,3,IF(L3&gt;$C$16,2,1)))</f>
        <v>3</v>
      </c>
      <c r="X5" s="42" t="s">
        <v>8</v>
      </c>
      <c r="Y5" s="42"/>
      <c r="Z5" s="42" t="s">
        <v>92</v>
      </c>
      <c r="AA5" s="42"/>
    </row>
    <row r="6" spans="2:27" ht="15.75" thickBot="1" x14ac:dyDescent="0.3">
      <c r="B6" s="10" t="s">
        <v>76</v>
      </c>
      <c r="C6" s="20" t="b">
        <v>1</v>
      </c>
      <c r="D6" s="12"/>
      <c r="F6" s="47" t="s">
        <v>88</v>
      </c>
      <c r="G6" s="48" t="b">
        <f t="shared" ref="G6:H6" si="0">AND(G4:G5)</f>
        <v>0</v>
      </c>
      <c r="H6" s="49" t="b">
        <f t="shared" si="0"/>
        <v>1</v>
      </c>
      <c r="I6" s="50" t="b">
        <f>AND(I4:I5)</f>
        <v>0</v>
      </c>
      <c r="J6" s="3"/>
      <c r="K6" s="10" t="s">
        <v>85</v>
      </c>
      <c r="L6" s="27">
        <f>IF(L4&gt;$C$14,4,IF(L4&gt;$C$15,3,IF(L4&gt;$C$16,2,1)))</f>
        <v>4</v>
      </c>
      <c r="X6" s="42" t="s">
        <v>9</v>
      </c>
      <c r="Y6" s="42"/>
      <c r="Z6" s="42" t="s">
        <v>89</v>
      </c>
      <c r="AA6" s="42"/>
    </row>
    <row r="7" spans="2:27" ht="15.75" thickBot="1" x14ac:dyDescent="0.3">
      <c r="B7" s="10" t="s">
        <v>77</v>
      </c>
      <c r="C7" s="20">
        <v>0.7</v>
      </c>
      <c r="D7" s="11" t="s">
        <v>5</v>
      </c>
      <c r="J7" s="3"/>
      <c r="K7" s="10" t="s">
        <v>28</v>
      </c>
      <c r="L7" s="27" t="b">
        <f>AND($L$5=4,$L$6=4)</f>
        <v>0</v>
      </c>
    </row>
    <row r="8" spans="2:27" x14ac:dyDescent="0.25">
      <c r="B8" s="8" t="s">
        <v>12</v>
      </c>
      <c r="C8" s="19" t="b">
        <v>1</v>
      </c>
      <c r="D8" s="38"/>
      <c r="F8" s="45" t="s">
        <v>35</v>
      </c>
      <c r="J8" s="3"/>
      <c r="K8" s="10" t="s">
        <v>29</v>
      </c>
      <c r="L8" s="27" t="b">
        <f>AND($L$5&gt;=3,$L$6&gt;=3)</f>
        <v>1</v>
      </c>
    </row>
    <row r="9" spans="2:27" ht="15.75" thickBot="1" x14ac:dyDescent="0.3">
      <c r="B9" s="10" t="s">
        <v>11</v>
      </c>
      <c r="C9" s="20">
        <v>1</v>
      </c>
      <c r="D9" s="11" t="s">
        <v>5</v>
      </c>
      <c r="F9" s="46" t="str">
        <f>IF(G6,Z3,IF(H6,Z4,IF(I6,Z5,Z6)))</f>
        <v>Moderate looseness</v>
      </c>
      <c r="J9" s="30"/>
      <c r="K9" s="37" t="s">
        <v>30</v>
      </c>
      <c r="L9" s="59" t="b">
        <f>AND($L$5&gt;=2,$L$6&gt;=2)</f>
        <v>1</v>
      </c>
    </row>
    <row r="10" spans="2:27" x14ac:dyDescent="0.25">
      <c r="B10" s="10" t="s">
        <v>78</v>
      </c>
      <c r="C10" s="20" t="b">
        <v>1</v>
      </c>
      <c r="D10" s="12"/>
      <c r="H10" s="31"/>
    </row>
    <row r="11" spans="2:27" ht="15.75" thickBot="1" x14ac:dyDescent="0.3">
      <c r="B11" s="15" t="s">
        <v>79</v>
      </c>
      <c r="C11" s="22">
        <v>0.9</v>
      </c>
      <c r="D11" s="54" t="s">
        <v>5</v>
      </c>
      <c r="G11"/>
    </row>
    <row r="12" spans="2:27" ht="15.75" thickBot="1" x14ac:dyDescent="0.3">
      <c r="B12" s="31"/>
      <c r="C12" s="3"/>
      <c r="D12" s="51"/>
      <c r="G12"/>
    </row>
    <row r="13" spans="2:27" x14ac:dyDescent="0.25">
      <c r="B13" s="4" t="s">
        <v>27</v>
      </c>
      <c r="C13" s="23" t="s">
        <v>26</v>
      </c>
      <c r="D13" s="51"/>
      <c r="G13"/>
      <c r="K13" s="31"/>
    </row>
    <row r="14" spans="2:27" x14ac:dyDescent="0.25">
      <c r="B14" s="8" t="s">
        <v>81</v>
      </c>
      <c r="C14" s="55">
        <v>0.8</v>
      </c>
      <c r="D14" s="31"/>
      <c r="G14"/>
    </row>
    <row r="15" spans="2:27" x14ac:dyDescent="0.25">
      <c r="B15" s="10" t="s">
        <v>82</v>
      </c>
      <c r="C15" s="56">
        <v>0.6</v>
      </c>
      <c r="D15" s="31"/>
      <c r="G15"/>
    </row>
    <row r="16" spans="2:27" ht="15.75" thickBot="1" x14ac:dyDescent="0.3">
      <c r="B16" s="15" t="s">
        <v>83</v>
      </c>
      <c r="C16" s="57">
        <v>0.4</v>
      </c>
      <c r="D16" s="51"/>
      <c r="G16"/>
    </row>
    <row r="17" spans="2:7" x14ac:dyDescent="0.25">
      <c r="B17" s="31"/>
      <c r="C17" s="3"/>
      <c r="D17" s="51"/>
      <c r="G17"/>
    </row>
    <row r="18" spans="2:7" x14ac:dyDescent="0.25">
      <c r="B18" s="31"/>
      <c r="C18" s="3"/>
      <c r="D18" s="31"/>
      <c r="G18"/>
    </row>
    <row r="19" spans="2:7" x14ac:dyDescent="0.25">
      <c r="B19" s="31"/>
      <c r="C19" s="3"/>
      <c r="D19" s="31"/>
      <c r="G19"/>
    </row>
    <row r="20" spans="2:7" x14ac:dyDescent="0.25">
      <c r="G20"/>
    </row>
    <row r="21" spans="2:7" x14ac:dyDescent="0.25">
      <c r="G21"/>
    </row>
    <row r="22" spans="2:7" x14ac:dyDescent="0.25">
      <c r="G22"/>
    </row>
    <row r="23" spans="2:7" x14ac:dyDescent="0.25">
      <c r="G23"/>
    </row>
  </sheetData>
  <conditionalFormatting sqref="L7:L9 C6 G4:I6">
    <cfRule type="cellIs" dxfId="19" priority="7" operator="equal">
      <formula>$Y$3</formula>
    </cfRule>
    <cfRule type="cellIs" dxfId="18" priority="8" operator="equal">
      <formula>$Y$4</formula>
    </cfRule>
  </conditionalFormatting>
  <conditionalFormatting sqref="C4 C3">
    <cfRule type="cellIs" dxfId="17" priority="6" operator="equal">
      <formula>$Y$4</formula>
    </cfRule>
  </conditionalFormatting>
  <conditionalFormatting sqref="C10">
    <cfRule type="cellIs" dxfId="16" priority="3" operator="equal">
      <formula>$Y$3</formula>
    </cfRule>
    <cfRule type="cellIs" dxfId="15" priority="4" operator="equal">
      <formula>$Y$4</formula>
    </cfRule>
  </conditionalFormatting>
  <conditionalFormatting sqref="C8">
    <cfRule type="cellIs" dxfId="14" priority="1" operator="equal">
      <formula>$Y$3</formula>
    </cfRule>
    <cfRule type="cellIs" dxfId="13" priority="2" operator="equal">
      <formula>$Y$4</formula>
    </cfRule>
  </conditionalFormatting>
  <conditionalFormatting sqref="C3:C4">
    <cfRule type="cellIs" dxfId="12" priority="5" operator="equal">
      <formula>$Y$3</formula>
    </cfRule>
  </conditionalFormatting>
  <dataValidations disablePrompts="1" count="2">
    <dataValidation type="list" showInputMessage="1" showErrorMessage="1" sqref="C19">
      <formula1>$X$3:$X$6</formula1>
    </dataValidation>
    <dataValidation type="list" allowBlank="1" showInputMessage="1" showErrorMessage="1" sqref="C6 C18 C8 C3:C4 C10">
      <formula1>$Y$3:$Y$4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23"/>
  <sheetViews>
    <sheetView zoomScale="115" zoomScaleNormal="115" workbookViewId="0">
      <selection activeCell="F28" sqref="F28"/>
    </sheetView>
  </sheetViews>
  <sheetFormatPr defaultRowHeight="15" x14ac:dyDescent="0.25"/>
  <cols>
    <col min="2" max="2" width="29.28515625" customWidth="1"/>
    <col min="3" max="3" width="14.7109375" style="1" customWidth="1"/>
    <col min="6" max="6" width="65.85546875" customWidth="1"/>
    <col min="7" max="7" width="12.42578125" style="1" customWidth="1"/>
    <col min="8" max="8" width="10.5703125" customWidth="1"/>
    <col min="9" max="9" width="13.28515625" customWidth="1"/>
    <col min="10" max="10" width="9.28515625" customWidth="1"/>
    <col min="11" max="11" width="25.28515625" customWidth="1"/>
    <col min="12" max="12" width="9.140625" style="1"/>
    <col min="15" max="15" width="12.140625" style="42" customWidth="1"/>
    <col min="16" max="16" width="12" style="42" customWidth="1"/>
  </cols>
  <sheetData>
    <row r="1" spans="2:27" ht="15.75" thickBot="1" x14ac:dyDescent="0.3"/>
    <row r="2" spans="2:27" x14ac:dyDescent="0.25">
      <c r="B2" s="26" t="s">
        <v>42</v>
      </c>
      <c r="C2" s="17" t="s">
        <v>4</v>
      </c>
      <c r="D2" s="5"/>
      <c r="F2" s="32"/>
      <c r="G2" s="17"/>
      <c r="H2" s="17" t="s">
        <v>31</v>
      </c>
      <c r="I2" s="33"/>
      <c r="K2" s="36" t="s">
        <v>32</v>
      </c>
      <c r="L2" s="58"/>
      <c r="X2" s="44" t="s">
        <v>36</v>
      </c>
      <c r="Y2" s="44" t="s">
        <v>37</v>
      </c>
      <c r="Z2" s="44" t="s">
        <v>38</v>
      </c>
      <c r="AA2" s="42"/>
    </row>
    <row r="3" spans="2:27" x14ac:dyDescent="0.25">
      <c r="B3" s="6" t="s">
        <v>22</v>
      </c>
      <c r="C3" s="18" t="b">
        <v>1</v>
      </c>
      <c r="D3" s="7"/>
      <c r="F3" s="34" t="s">
        <v>43</v>
      </c>
      <c r="G3" s="30" t="s">
        <v>8</v>
      </c>
      <c r="H3" s="30" t="s">
        <v>7</v>
      </c>
      <c r="I3" s="35" t="s">
        <v>6</v>
      </c>
      <c r="K3" s="8" t="s">
        <v>84</v>
      </c>
      <c r="L3" s="64">
        <f>IF(C6&gt;$C$14,4,IF(C6&gt;$C$15,3,IF(C6&gt;$C$16,2,1)))</f>
        <v>4</v>
      </c>
      <c r="X3" s="42" t="s">
        <v>6</v>
      </c>
      <c r="Y3" s="43" t="b">
        <v>1</v>
      </c>
      <c r="Z3" s="42" t="s">
        <v>97</v>
      </c>
      <c r="AA3" s="42"/>
    </row>
    <row r="4" spans="2:27" x14ac:dyDescent="0.25">
      <c r="B4" s="10" t="s">
        <v>2</v>
      </c>
      <c r="C4" s="20" t="b">
        <v>1</v>
      </c>
      <c r="D4" s="12"/>
      <c r="F4" s="8" t="s">
        <v>33</v>
      </c>
      <c r="G4" s="19" t="b">
        <f>AND($C$3,$C$4,$C$8)</f>
        <v>1</v>
      </c>
      <c r="H4" s="2" t="b">
        <f>G4</f>
        <v>1</v>
      </c>
      <c r="I4" s="25" t="b">
        <f>G4</f>
        <v>1</v>
      </c>
      <c r="K4" s="10" t="s">
        <v>85</v>
      </c>
      <c r="L4" s="27">
        <f>IF(C10&gt;$C$14,4,IF(C10&gt;$C$15,3,IF(C10&gt;$C$16,2,1)))</f>
        <v>4</v>
      </c>
      <c r="X4" s="42" t="s">
        <v>7</v>
      </c>
      <c r="Y4" s="43" t="b">
        <v>0</v>
      </c>
      <c r="Z4" s="42" t="s">
        <v>98</v>
      </c>
      <c r="AA4" s="42"/>
    </row>
    <row r="5" spans="2:27" x14ac:dyDescent="0.25">
      <c r="B5" s="10" t="s">
        <v>1</v>
      </c>
      <c r="C5" s="20">
        <v>20</v>
      </c>
      <c r="D5" s="11" t="s">
        <v>5</v>
      </c>
      <c r="F5" s="10" t="s">
        <v>101</v>
      </c>
      <c r="G5" s="20" t="b">
        <f>AND(L7,NOT(L6))</f>
        <v>0</v>
      </c>
      <c r="H5" s="3" t="b">
        <f>AND(L6,NOT(L5))</f>
        <v>0</v>
      </c>
      <c r="I5" s="24" t="b">
        <f>L5</f>
        <v>1</v>
      </c>
      <c r="J5" s="30"/>
      <c r="K5" s="10" t="s">
        <v>28</v>
      </c>
      <c r="L5" s="27" t="b">
        <f>AND($L$3=4,$L$4=4)</f>
        <v>1</v>
      </c>
      <c r="X5" s="42" t="s">
        <v>8</v>
      </c>
      <c r="Y5" s="42"/>
      <c r="Z5" s="42" t="s">
        <v>99</v>
      </c>
      <c r="AA5" s="42"/>
    </row>
    <row r="6" spans="2:27" x14ac:dyDescent="0.25">
      <c r="B6" s="10" t="s">
        <v>93</v>
      </c>
      <c r="C6" s="20">
        <v>13</v>
      </c>
      <c r="D6" s="11" t="s">
        <v>5</v>
      </c>
      <c r="F6" s="53" t="s">
        <v>103</v>
      </c>
      <c r="G6" s="20" t="b">
        <f>AND(C6/C5&gt;C17,C10/C9&gt;C17)</f>
        <v>1</v>
      </c>
      <c r="H6" s="31" t="b">
        <f>G6</f>
        <v>1</v>
      </c>
      <c r="I6" s="12" t="b">
        <f>G6</f>
        <v>1</v>
      </c>
      <c r="J6" s="3"/>
      <c r="K6" s="10" t="s">
        <v>29</v>
      </c>
      <c r="L6" s="27" t="b">
        <f>AND($L$3&gt;=3,$L$4&gt;=3)</f>
        <v>1</v>
      </c>
      <c r="X6" s="42" t="s">
        <v>9</v>
      </c>
      <c r="Y6" s="42"/>
      <c r="Z6" s="42" t="s">
        <v>100</v>
      </c>
      <c r="AA6" s="42"/>
    </row>
    <row r="7" spans="2:27" ht="15.75" thickBot="1" x14ac:dyDescent="0.3">
      <c r="B7" s="10" t="s">
        <v>94</v>
      </c>
      <c r="C7" s="20">
        <v>11</v>
      </c>
      <c r="D7" s="11" t="s">
        <v>5</v>
      </c>
      <c r="F7" s="53" t="s">
        <v>104</v>
      </c>
      <c r="G7" s="21" t="b">
        <f>AND(C7/C6&gt;C18,C11/C10&gt;C18)</f>
        <v>1</v>
      </c>
      <c r="H7" s="31" t="b">
        <f>G7</f>
        <v>1</v>
      </c>
      <c r="I7" s="12" t="b">
        <f>G7</f>
        <v>1</v>
      </c>
      <c r="J7" s="3"/>
      <c r="K7" s="37" t="s">
        <v>30</v>
      </c>
      <c r="L7" s="59" t="b">
        <f>AND($L$3&gt;=2,$L$4&gt;=2)</f>
        <v>1</v>
      </c>
    </row>
    <row r="8" spans="2:27" ht="15.75" thickBot="1" x14ac:dyDescent="0.3">
      <c r="B8" s="8" t="s">
        <v>12</v>
      </c>
      <c r="C8" s="19" t="b">
        <v>1</v>
      </c>
      <c r="D8" s="38"/>
      <c r="F8" s="47" t="s">
        <v>102</v>
      </c>
      <c r="G8" s="48" t="b">
        <f>AND(G4:G7)</f>
        <v>0</v>
      </c>
      <c r="H8" s="49" t="b">
        <f>AND(H4:H7)</f>
        <v>0</v>
      </c>
      <c r="I8" s="50" t="b">
        <f>AND(I4:I7)</f>
        <v>1</v>
      </c>
      <c r="J8" s="3"/>
    </row>
    <row r="9" spans="2:27" ht="15.75" thickBot="1" x14ac:dyDescent="0.3">
      <c r="B9" s="10" t="s">
        <v>11</v>
      </c>
      <c r="C9" s="20">
        <v>20</v>
      </c>
      <c r="D9" s="11" t="s">
        <v>5</v>
      </c>
      <c r="J9" s="30"/>
    </row>
    <row r="10" spans="2:27" x14ac:dyDescent="0.25">
      <c r="B10" s="10" t="s">
        <v>95</v>
      </c>
      <c r="C10" s="20">
        <v>13</v>
      </c>
      <c r="D10" s="11" t="s">
        <v>5</v>
      </c>
      <c r="F10" s="45" t="s">
        <v>35</v>
      </c>
    </row>
    <row r="11" spans="2:27" ht="15.75" thickBot="1" x14ac:dyDescent="0.3">
      <c r="B11" s="15" t="s">
        <v>96</v>
      </c>
      <c r="C11" s="22">
        <v>11</v>
      </c>
      <c r="D11" s="54" t="s">
        <v>5</v>
      </c>
      <c r="F11" s="46" t="str">
        <f>IF(G8,Z3,IF(H8,Z4,IF(I8,Z5,Z6)))</f>
        <v>Severe oil whirl</v>
      </c>
      <c r="H11" s="31"/>
    </row>
    <row r="12" spans="2:27" ht="15.75" thickBot="1" x14ac:dyDescent="0.3">
      <c r="B12" s="31"/>
      <c r="C12" s="3"/>
      <c r="D12" s="51"/>
      <c r="G12"/>
    </row>
    <row r="13" spans="2:27" x14ac:dyDescent="0.25">
      <c r="B13" s="4" t="s">
        <v>27</v>
      </c>
      <c r="C13" s="63" t="s">
        <v>26</v>
      </c>
      <c r="D13" s="60"/>
      <c r="G13"/>
      <c r="K13" s="31"/>
    </row>
    <row r="14" spans="2:27" x14ac:dyDescent="0.25">
      <c r="B14" s="8" t="s">
        <v>105</v>
      </c>
      <c r="C14" s="20">
        <v>12</v>
      </c>
      <c r="D14" s="9" t="s">
        <v>5</v>
      </c>
      <c r="G14"/>
    </row>
    <row r="15" spans="2:27" x14ac:dyDescent="0.25">
      <c r="B15" s="10" t="s">
        <v>106</v>
      </c>
      <c r="C15" s="20">
        <v>10</v>
      </c>
      <c r="D15" s="11" t="s">
        <v>5</v>
      </c>
      <c r="G15"/>
    </row>
    <row r="16" spans="2:27" x14ac:dyDescent="0.25">
      <c r="B16" s="10" t="s">
        <v>107</v>
      </c>
      <c r="C16" s="20">
        <v>8</v>
      </c>
      <c r="D16" s="11" t="s">
        <v>5</v>
      </c>
      <c r="G16"/>
    </row>
    <row r="17" spans="2:7" x14ac:dyDescent="0.25">
      <c r="B17" s="53" t="s">
        <v>108</v>
      </c>
      <c r="C17" s="61">
        <v>0.55000000000000004</v>
      </c>
      <c r="D17" s="11"/>
      <c r="G17"/>
    </row>
    <row r="18" spans="2:7" ht="15.75" thickBot="1" x14ac:dyDescent="0.3">
      <c r="B18" s="37" t="s">
        <v>109</v>
      </c>
      <c r="C18" s="62">
        <v>0.8</v>
      </c>
      <c r="D18" s="16"/>
      <c r="G18"/>
    </row>
    <row r="19" spans="2:7" x14ac:dyDescent="0.25">
      <c r="B19" s="31"/>
      <c r="C19" s="3"/>
      <c r="D19" s="31"/>
      <c r="G19"/>
    </row>
    <row r="20" spans="2:7" x14ac:dyDescent="0.25">
      <c r="G20"/>
    </row>
    <row r="21" spans="2:7" x14ac:dyDescent="0.25">
      <c r="G21"/>
    </row>
    <row r="22" spans="2:7" x14ac:dyDescent="0.25">
      <c r="G22"/>
    </row>
    <row r="23" spans="2:7" x14ac:dyDescent="0.25">
      <c r="G23"/>
    </row>
  </sheetData>
  <conditionalFormatting sqref="G4:I8 L5 L6 L7">
    <cfRule type="cellIs" dxfId="11" priority="8" operator="equal">
      <formula>$Y$4</formula>
    </cfRule>
  </conditionalFormatting>
  <conditionalFormatting sqref="C3:C4">
    <cfRule type="cellIs" dxfId="10" priority="6" operator="equal">
      <formula>$Y$4</formula>
    </cfRule>
  </conditionalFormatting>
  <conditionalFormatting sqref="C8">
    <cfRule type="cellIs" dxfId="9" priority="1" operator="equal">
      <formula>$Y$3</formula>
    </cfRule>
    <cfRule type="cellIs" dxfId="8" priority="2" operator="equal">
      <formula>$Y$4</formula>
    </cfRule>
  </conditionalFormatting>
  <conditionalFormatting sqref="C3:C4">
    <cfRule type="cellIs" dxfId="7" priority="5" operator="equal">
      <formula>$Y$3</formula>
    </cfRule>
  </conditionalFormatting>
  <conditionalFormatting sqref="G4:I8 L5:L7">
    <cfRule type="cellIs" dxfId="6" priority="7" operator="equal">
      <formula>$Y$3</formula>
    </cfRule>
  </conditionalFormatting>
  <dataValidations count="2">
    <dataValidation type="list" allowBlank="1" showInputMessage="1" showErrorMessage="1" sqref="C3:C4 C8">
      <formula1>$Y$3:$Y$4</formula1>
    </dataValidation>
    <dataValidation type="list" showInputMessage="1" showErrorMessage="1" sqref="C19">
      <formula1>$X$3:$X$6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23"/>
  <sheetViews>
    <sheetView topLeftCell="A4" zoomScale="115" zoomScaleNormal="115" workbookViewId="0">
      <selection activeCell="F27" sqref="F27"/>
    </sheetView>
  </sheetViews>
  <sheetFormatPr defaultRowHeight="15" x14ac:dyDescent="0.25"/>
  <cols>
    <col min="2" max="2" width="29.28515625" customWidth="1"/>
    <col min="3" max="3" width="14.7109375" style="1" customWidth="1"/>
    <col min="6" max="6" width="65.85546875" customWidth="1"/>
    <col min="7" max="7" width="12.42578125" style="1" customWidth="1"/>
    <col min="8" max="8" width="10.5703125" customWidth="1"/>
    <col min="9" max="9" width="13.28515625" customWidth="1"/>
    <col min="10" max="10" width="9.28515625" customWidth="1"/>
    <col min="11" max="11" width="25.28515625" customWidth="1"/>
    <col min="12" max="12" width="9.140625" style="1"/>
    <col min="15" max="15" width="12.140625" style="42" customWidth="1"/>
    <col min="16" max="16" width="12" style="42" customWidth="1"/>
  </cols>
  <sheetData>
    <row r="1" spans="2:27" ht="15.75" thickBot="1" x14ac:dyDescent="0.3"/>
    <row r="2" spans="2:27" x14ac:dyDescent="0.25">
      <c r="B2" s="26" t="s">
        <v>42</v>
      </c>
      <c r="C2" s="17" t="s">
        <v>4</v>
      </c>
      <c r="D2" s="5"/>
      <c r="F2" s="32"/>
      <c r="G2" s="17"/>
      <c r="H2" s="17" t="s">
        <v>31</v>
      </c>
      <c r="I2" s="33"/>
      <c r="K2" s="36" t="s">
        <v>32</v>
      </c>
      <c r="L2" s="58"/>
      <c r="X2" s="44" t="s">
        <v>36</v>
      </c>
      <c r="Y2" s="44" t="s">
        <v>37</v>
      </c>
      <c r="Z2" s="44" t="s">
        <v>38</v>
      </c>
      <c r="AA2" s="42"/>
    </row>
    <row r="3" spans="2:27" x14ac:dyDescent="0.25">
      <c r="B3" s="6" t="s">
        <v>22</v>
      </c>
      <c r="C3" s="18" t="b">
        <v>1</v>
      </c>
      <c r="D3" s="7"/>
      <c r="F3" s="34" t="s">
        <v>43</v>
      </c>
      <c r="G3" s="30" t="s">
        <v>8</v>
      </c>
      <c r="H3" s="30" t="s">
        <v>7</v>
      </c>
      <c r="I3" s="35" t="s">
        <v>6</v>
      </c>
      <c r="K3" s="8" t="s">
        <v>84</v>
      </c>
      <c r="L3" s="64">
        <f>IF(C6&gt;$C$14,4,IF(C6&gt;$C$15,3,IF(C6&gt;$C$16,2,1)))</f>
        <v>4</v>
      </c>
      <c r="X3" s="42" t="s">
        <v>6</v>
      </c>
      <c r="Y3" s="43" t="b">
        <v>1</v>
      </c>
      <c r="Z3" s="42" t="s">
        <v>112</v>
      </c>
      <c r="AA3" s="42"/>
    </row>
    <row r="4" spans="2:27" x14ac:dyDescent="0.25">
      <c r="B4" s="10" t="s">
        <v>2</v>
      </c>
      <c r="C4" s="20" t="b">
        <v>1</v>
      </c>
      <c r="D4" s="12"/>
      <c r="F4" s="8" t="s">
        <v>33</v>
      </c>
      <c r="G4" s="19" t="b">
        <f>AND($C$3,$C$4,$C$8)</f>
        <v>1</v>
      </c>
      <c r="H4" s="2" t="b">
        <f>G4</f>
        <v>1</v>
      </c>
      <c r="I4" s="25" t="b">
        <f>G4</f>
        <v>1</v>
      </c>
      <c r="K4" s="10" t="s">
        <v>85</v>
      </c>
      <c r="L4" s="27">
        <f>IF(C10&gt;$C$14,4,IF(C10&gt;$C$15,3,IF(C10&gt;$C$16,2,1)))</f>
        <v>4</v>
      </c>
      <c r="X4" s="42" t="s">
        <v>7</v>
      </c>
      <c r="Y4" s="43" t="b">
        <v>0</v>
      </c>
      <c r="Z4" s="42" t="s">
        <v>113</v>
      </c>
      <c r="AA4" s="42"/>
    </row>
    <row r="5" spans="2:27" x14ac:dyDescent="0.25">
      <c r="B5" s="10" t="s">
        <v>1</v>
      </c>
      <c r="C5" s="20">
        <v>20</v>
      </c>
      <c r="D5" s="11" t="s">
        <v>5</v>
      </c>
      <c r="F5" s="10" t="s">
        <v>101</v>
      </c>
      <c r="G5" s="20" t="b">
        <f>AND(L7,NOT(L6))</f>
        <v>0</v>
      </c>
      <c r="H5" s="3" t="b">
        <f>AND(L6,NOT(L5))</f>
        <v>0</v>
      </c>
      <c r="I5" s="24" t="b">
        <f>L5</f>
        <v>1</v>
      </c>
      <c r="J5" s="30"/>
      <c r="K5" s="10" t="s">
        <v>28</v>
      </c>
      <c r="L5" s="27" t="b">
        <f>AND($L$3=4,$L$4=4)</f>
        <v>1</v>
      </c>
      <c r="X5" s="42" t="s">
        <v>8</v>
      </c>
      <c r="Y5" s="42"/>
      <c r="Z5" s="42" t="s">
        <v>114</v>
      </c>
      <c r="AA5" s="42"/>
    </row>
    <row r="6" spans="2:27" x14ac:dyDescent="0.25">
      <c r="B6" s="10" t="s">
        <v>93</v>
      </c>
      <c r="C6" s="20">
        <v>13</v>
      </c>
      <c r="D6" s="11" t="s">
        <v>5</v>
      </c>
      <c r="F6" s="53" t="s">
        <v>103</v>
      </c>
      <c r="G6" s="20" t="b">
        <f>AND(C6/C5&gt;C17,C10/C9&gt;C17)</f>
        <v>1</v>
      </c>
      <c r="H6" s="31" t="b">
        <f>G6</f>
        <v>1</v>
      </c>
      <c r="I6" s="12" t="b">
        <f>G6</f>
        <v>1</v>
      </c>
      <c r="J6" s="3"/>
      <c r="K6" s="10" t="s">
        <v>29</v>
      </c>
      <c r="L6" s="27" t="b">
        <f>AND($L$3&gt;=3,$L$4&gt;=3)</f>
        <v>1</v>
      </c>
      <c r="X6" s="42" t="s">
        <v>9</v>
      </c>
      <c r="Y6" s="42"/>
      <c r="Z6" s="42" t="s">
        <v>115</v>
      </c>
      <c r="AA6" s="42"/>
    </row>
    <row r="7" spans="2:27" ht="15.75" thickBot="1" x14ac:dyDescent="0.3">
      <c r="B7" s="10" t="s">
        <v>94</v>
      </c>
      <c r="C7" s="20">
        <v>11</v>
      </c>
      <c r="D7" s="11" t="s">
        <v>5</v>
      </c>
      <c r="F7" s="53" t="s">
        <v>110</v>
      </c>
      <c r="G7" s="21" t="b">
        <f>AND(C7/C6&lt;=C18,C11/C10&lt;=C18)</f>
        <v>0</v>
      </c>
      <c r="H7" s="31" t="b">
        <f>G7</f>
        <v>0</v>
      </c>
      <c r="I7" s="12" t="b">
        <f>G7</f>
        <v>0</v>
      </c>
      <c r="J7" s="3"/>
      <c r="K7" s="37" t="s">
        <v>30</v>
      </c>
      <c r="L7" s="59" t="b">
        <f>AND($L$3&gt;=2,$L$4&gt;=2)</f>
        <v>1</v>
      </c>
    </row>
    <row r="8" spans="2:27" ht="15.75" thickBot="1" x14ac:dyDescent="0.3">
      <c r="B8" s="8" t="s">
        <v>12</v>
      </c>
      <c r="C8" s="19" t="b">
        <v>1</v>
      </c>
      <c r="D8" s="38"/>
      <c r="F8" s="47" t="s">
        <v>111</v>
      </c>
      <c r="G8" s="48" t="b">
        <f>AND(G4:G7)</f>
        <v>0</v>
      </c>
      <c r="H8" s="49" t="b">
        <f>AND(H4:H7)</f>
        <v>0</v>
      </c>
      <c r="I8" s="50" t="b">
        <f>AND(I4:I7)</f>
        <v>0</v>
      </c>
      <c r="J8" s="3"/>
    </row>
    <row r="9" spans="2:27" ht="15.75" thickBot="1" x14ac:dyDescent="0.3">
      <c r="B9" s="10" t="s">
        <v>11</v>
      </c>
      <c r="C9" s="20">
        <v>20</v>
      </c>
      <c r="D9" s="11" t="s">
        <v>5</v>
      </c>
      <c r="J9" s="30"/>
    </row>
    <row r="10" spans="2:27" x14ac:dyDescent="0.25">
      <c r="B10" s="10" t="s">
        <v>95</v>
      </c>
      <c r="C10" s="20">
        <v>13</v>
      </c>
      <c r="D10" s="11" t="s">
        <v>5</v>
      </c>
      <c r="F10" s="45" t="s">
        <v>35</v>
      </c>
    </row>
    <row r="11" spans="2:27" ht="15.75" thickBot="1" x14ac:dyDescent="0.3">
      <c r="B11" s="15" t="s">
        <v>96</v>
      </c>
      <c r="C11" s="22">
        <v>11</v>
      </c>
      <c r="D11" s="54" t="s">
        <v>5</v>
      </c>
      <c r="F11" s="46" t="str">
        <f>IF(G8,Z3,IF(H8,Z4,IF(I8,Z5,Z6)))</f>
        <v>No steam instability</v>
      </c>
      <c r="H11" s="31"/>
    </row>
    <row r="12" spans="2:27" ht="15.75" thickBot="1" x14ac:dyDescent="0.3">
      <c r="B12" s="31"/>
      <c r="C12" s="3"/>
      <c r="D12" s="51"/>
      <c r="G12"/>
    </row>
    <row r="13" spans="2:27" x14ac:dyDescent="0.25">
      <c r="B13" s="4" t="s">
        <v>27</v>
      </c>
      <c r="C13" s="63" t="s">
        <v>26</v>
      </c>
      <c r="D13" s="60"/>
      <c r="G13"/>
      <c r="K13" s="31"/>
    </row>
    <row r="14" spans="2:27" x14ac:dyDescent="0.25">
      <c r="B14" s="8" t="s">
        <v>105</v>
      </c>
      <c r="C14" s="20">
        <v>12</v>
      </c>
      <c r="D14" s="9" t="s">
        <v>5</v>
      </c>
      <c r="F14" s="69"/>
      <c r="G14"/>
    </row>
    <row r="15" spans="2:27" x14ac:dyDescent="0.25">
      <c r="B15" s="10" t="s">
        <v>106</v>
      </c>
      <c r="C15" s="20">
        <v>10</v>
      </c>
      <c r="D15" s="11" t="s">
        <v>5</v>
      </c>
      <c r="G15"/>
    </row>
    <row r="16" spans="2:27" x14ac:dyDescent="0.25">
      <c r="B16" s="10" t="s">
        <v>107</v>
      </c>
      <c r="C16" s="20">
        <v>8</v>
      </c>
      <c r="D16" s="11" t="s">
        <v>5</v>
      </c>
      <c r="G16"/>
    </row>
    <row r="17" spans="2:7" x14ac:dyDescent="0.25">
      <c r="B17" s="53" t="s">
        <v>108</v>
      </c>
      <c r="C17" s="61">
        <v>0.55000000000000004</v>
      </c>
      <c r="D17" s="11"/>
      <c r="G17"/>
    </row>
    <row r="18" spans="2:7" ht="15.75" thickBot="1" x14ac:dyDescent="0.3">
      <c r="B18" s="37" t="s">
        <v>109</v>
      </c>
      <c r="C18" s="62">
        <v>0.8</v>
      </c>
      <c r="D18" s="16"/>
      <c r="G18"/>
    </row>
    <row r="19" spans="2:7" x14ac:dyDescent="0.25">
      <c r="B19" s="31"/>
      <c r="C19" s="3"/>
      <c r="D19" s="31"/>
      <c r="G19"/>
    </row>
    <row r="20" spans="2:7" x14ac:dyDescent="0.25">
      <c r="G20"/>
    </row>
    <row r="21" spans="2:7" x14ac:dyDescent="0.25">
      <c r="G21"/>
    </row>
    <row r="22" spans="2:7" x14ac:dyDescent="0.25">
      <c r="G22"/>
    </row>
    <row r="23" spans="2:7" x14ac:dyDescent="0.25">
      <c r="G23"/>
    </row>
  </sheetData>
  <conditionalFormatting sqref="G4:I8 L5:L7">
    <cfRule type="cellIs" dxfId="5" priority="6" operator="equal">
      <formula>$Y$4</formula>
    </cfRule>
  </conditionalFormatting>
  <conditionalFormatting sqref="C3:C4">
    <cfRule type="cellIs" dxfId="4" priority="4" operator="equal">
      <formula>$Y$4</formula>
    </cfRule>
  </conditionalFormatting>
  <conditionalFormatting sqref="C8">
    <cfRule type="cellIs" dxfId="3" priority="1" operator="equal">
      <formula>$Y$3</formula>
    </cfRule>
    <cfRule type="cellIs" dxfId="2" priority="2" operator="equal">
      <formula>$Y$4</formula>
    </cfRule>
  </conditionalFormatting>
  <conditionalFormatting sqref="C3:C4">
    <cfRule type="cellIs" dxfId="1" priority="3" operator="equal">
      <formula>$Y$3</formula>
    </cfRule>
  </conditionalFormatting>
  <conditionalFormatting sqref="G4:I8 L5:L7">
    <cfRule type="cellIs" dxfId="0" priority="5" operator="equal">
      <formula>$Y$3</formula>
    </cfRule>
  </conditionalFormatting>
  <dataValidations count="2">
    <dataValidation type="list" showInputMessage="1" showErrorMessage="1" sqref="C19">
      <formula1>$X$3:$X$6</formula1>
    </dataValidation>
    <dataValidation type="list" allowBlank="1" showInputMessage="1" showErrorMessage="1" sqref="C3:C4 C8">
      <formula1>$Y$3:$Y$4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Imbalance</vt:lpstr>
      <vt:lpstr>Misalignment</vt:lpstr>
      <vt:lpstr>Rub</vt:lpstr>
      <vt:lpstr>Looseness</vt:lpstr>
      <vt:lpstr>Oil whirl</vt:lpstr>
      <vt:lpstr>Steam instability</vt:lpstr>
    </vt:vector>
  </TitlesOfParts>
  <Company>MSS - 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Alfonso Fernandez</dc:creator>
  <cp:lastModifiedBy>Alfonso Fernandez</cp:lastModifiedBy>
  <dcterms:created xsi:type="dcterms:W3CDTF">2023-04-14T11:16:42Z</dcterms:created>
  <dcterms:modified xsi:type="dcterms:W3CDTF">2023-04-20T14:56:49Z</dcterms:modified>
</cp:coreProperties>
</file>